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ECTRUM\Desktop\++SEPTEMBRE 2020\+ FORUM LYNKOA\"/>
    </mc:Choice>
  </mc:AlternateContent>
  <bookViews>
    <workbookView xWindow="0" yWindow="0" windowWidth="23232" windowHeight="9312" activeTab="2"/>
  </bookViews>
  <sheets>
    <sheet name="GENERAL" sheetId="12" r:id="rId1"/>
    <sheet name="Contact Ponctuel" sheetId="9" r:id="rId2"/>
    <sheet name="Contact Linéaire" sheetId="7" r:id="rId3"/>
    <sheet name="Contact Poinçon Plan" sheetId="8" r:id="rId4"/>
    <sheet name="Références bibliographiques" sheetId="10" r:id="rId5"/>
    <sheet name="Versions" sheetId="11" r:id="rId6"/>
  </sheets>
  <definedNames>
    <definedName name="_xlnm.Print_Area" localSheetId="4">'Références bibliographiques'!$A$1:$L$50</definedName>
  </definedNames>
  <calcPr calcId="162913" iterate="1"/>
</workbook>
</file>

<file path=xl/calcChain.xml><?xml version="1.0" encoding="utf-8"?>
<calcChain xmlns="http://schemas.openxmlformats.org/spreadsheetml/2006/main">
  <c r="D55" i="11" l="1"/>
  <c r="K49" i="10"/>
  <c r="D65" i="8"/>
  <c r="J99" i="7"/>
  <c r="J96" i="9"/>
  <c r="L44" i="12"/>
  <c r="A38" i="9"/>
  <c r="A44" i="9"/>
  <c r="D38" i="9"/>
  <c r="D44" i="9"/>
  <c r="D41" i="7"/>
  <c r="A47" i="7"/>
  <c r="D47" i="7"/>
  <c r="A41" i="7"/>
  <c r="J95" i="9"/>
  <c r="J98" i="7"/>
  <c r="D64" i="8"/>
  <c r="K48" i="10"/>
  <c r="D54" i="11"/>
  <c r="D99" i="8"/>
  <c r="C99" i="8" s="1"/>
  <c r="D100" i="8"/>
  <c r="C100" i="8" s="1"/>
  <c r="D70" i="8"/>
  <c r="C70" i="8" s="1"/>
  <c r="C36" i="8"/>
  <c r="C34" i="8"/>
  <c r="C35" i="8"/>
  <c r="N142" i="7"/>
  <c r="N114" i="7"/>
  <c r="N115" i="7" s="1"/>
  <c r="N116" i="7" s="1"/>
  <c r="N117" i="7" s="1"/>
  <c r="N118" i="7" s="1"/>
  <c r="N119" i="7" s="1"/>
  <c r="N120" i="7" s="1"/>
  <c r="N121" i="7" s="1"/>
  <c r="N122" i="7" s="1"/>
  <c r="N123" i="7" s="1"/>
  <c r="N124" i="7" s="1"/>
  <c r="N125" i="7" s="1"/>
  <c r="N126" i="7" s="1"/>
  <c r="N127" i="7" s="1"/>
  <c r="N128" i="7" s="1"/>
  <c r="N129" i="7" s="1"/>
  <c r="N130" i="7" s="1"/>
  <c r="N131" i="7" s="1"/>
  <c r="N132" i="7" s="1"/>
  <c r="N133" i="7" s="1"/>
  <c r="N134" i="7" s="1"/>
  <c r="N135" i="7" s="1"/>
  <c r="N136" i="7" s="1"/>
  <c r="N137" i="7" s="1"/>
  <c r="N138" i="7" s="1"/>
  <c r="N139" i="7" s="1"/>
  <c r="N140" i="7" s="1"/>
  <c r="N141" i="7" s="1"/>
  <c r="C67" i="9"/>
  <c r="C68" i="9"/>
  <c r="C69" i="9"/>
  <c r="C72" i="7"/>
  <c r="C50" i="9" l="1"/>
  <c r="C47" i="9"/>
  <c r="D71" i="8"/>
  <c r="D72" i="8" s="1"/>
  <c r="C71" i="7"/>
  <c r="C71" i="8"/>
  <c r="D73" i="8"/>
  <c r="C72" i="8"/>
  <c r="C70" i="7"/>
  <c r="C50" i="7" s="1"/>
  <c r="U132" i="9" l="1"/>
  <c r="C51" i="9"/>
  <c r="E132" i="9"/>
  <c r="F132" i="9" s="1"/>
  <c r="V103" i="9"/>
  <c r="C48" i="9"/>
  <c r="Q103" i="9"/>
  <c r="I103" i="9"/>
  <c r="D132" i="9"/>
  <c r="C65" i="9"/>
  <c r="C64" i="9" s="1"/>
  <c r="D64" i="9" s="1"/>
  <c r="G132" i="9"/>
  <c r="H132" i="9" s="1"/>
  <c r="C58" i="9"/>
  <c r="C57" i="9" s="1"/>
  <c r="D57" i="9" s="1"/>
  <c r="C73" i="8"/>
  <c r="D74" i="8"/>
  <c r="O118" i="7"/>
  <c r="O114" i="7"/>
  <c r="O120" i="7"/>
  <c r="O117" i="7"/>
  <c r="O119" i="7"/>
  <c r="O141" i="7"/>
  <c r="O134" i="7"/>
  <c r="O136" i="7"/>
  <c r="O138" i="7"/>
  <c r="O127" i="7"/>
  <c r="O142" i="7"/>
  <c r="O121" i="7"/>
  <c r="O135" i="7"/>
  <c r="O139" i="7"/>
  <c r="O126" i="7"/>
  <c r="O113" i="7"/>
  <c r="O137" i="7"/>
  <c r="O129" i="7"/>
  <c r="O130" i="7"/>
  <c r="O133" i="7"/>
  <c r="O140" i="7"/>
  <c r="O116" i="7"/>
  <c r="O122" i="7"/>
  <c r="O124" i="7"/>
  <c r="E142" i="7"/>
  <c r="E114" i="7" s="1"/>
  <c r="E115" i="7" s="1"/>
  <c r="E116" i="7" s="1"/>
  <c r="E117" i="7" s="1"/>
  <c r="D117" i="7" s="1"/>
  <c r="O123" i="7"/>
  <c r="C52" i="7"/>
  <c r="D113" i="7"/>
  <c r="C51" i="7"/>
  <c r="H127" i="7" s="1"/>
  <c r="I127" i="7" s="1"/>
  <c r="O125" i="7"/>
  <c r="O128" i="7"/>
  <c r="O131" i="7"/>
  <c r="C68" i="7"/>
  <c r="C61" i="7"/>
  <c r="O132" i="7"/>
  <c r="D116" i="7"/>
  <c r="O115" i="7"/>
  <c r="H117" i="7"/>
  <c r="I117" i="7" s="1"/>
  <c r="C65" i="7"/>
  <c r="F124" i="7"/>
  <c r="G124" i="7" s="1"/>
  <c r="J115" i="7"/>
  <c r="C60" i="7"/>
  <c r="D60" i="7" s="1"/>
  <c r="J128" i="7"/>
  <c r="J135" i="7"/>
  <c r="C58" i="7"/>
  <c r="F135" i="7"/>
  <c r="G135" i="7" s="1"/>
  <c r="F138" i="7"/>
  <c r="G138" i="7" s="1"/>
  <c r="F139" i="7"/>
  <c r="G139" i="7" s="1"/>
  <c r="J117" i="7"/>
  <c r="J127" i="7"/>
  <c r="H135" i="7"/>
  <c r="I135" i="7" s="1"/>
  <c r="F141" i="7"/>
  <c r="G141" i="7" s="1"/>
  <c r="H118" i="7"/>
  <c r="I118" i="7" s="1"/>
  <c r="H129" i="7"/>
  <c r="I129" i="7" s="1"/>
  <c r="H113" i="7"/>
  <c r="I113" i="7" s="1"/>
  <c r="J119" i="7"/>
  <c r="J116" i="7"/>
  <c r="J129" i="7"/>
  <c r="F136" i="7"/>
  <c r="G136" i="7" s="1"/>
  <c r="H139" i="7"/>
  <c r="I139" i="7" s="1"/>
  <c r="F117" i="7"/>
  <c r="G117" i="7" s="1"/>
  <c r="E118" i="7" l="1"/>
  <c r="J134" i="7"/>
  <c r="H123" i="7"/>
  <c r="I123" i="7" s="1"/>
  <c r="J142" i="7"/>
  <c r="K142" i="7" s="1"/>
  <c r="J132" i="7"/>
  <c r="F120" i="7"/>
  <c r="G120" i="7" s="1"/>
  <c r="F137" i="7"/>
  <c r="G137" i="7" s="1"/>
  <c r="J124" i="7"/>
  <c r="K124" i="7" s="1"/>
  <c r="J122" i="7"/>
  <c r="F121" i="7"/>
  <c r="G121" i="7" s="1"/>
  <c r="H142" i="7"/>
  <c r="I142" i="7" s="1"/>
  <c r="C67" i="7"/>
  <c r="D67" i="7" s="1"/>
  <c r="H124" i="7"/>
  <c r="I124" i="7" s="1"/>
  <c r="J113" i="7"/>
  <c r="F129" i="7"/>
  <c r="G129" i="7" s="1"/>
  <c r="J138" i="7"/>
  <c r="K138" i="7" s="1"/>
  <c r="F114" i="7"/>
  <c r="G114" i="7" s="1"/>
  <c r="J140" i="7"/>
  <c r="K140" i="7" s="1"/>
  <c r="F115" i="7"/>
  <c r="G115" i="7" s="1"/>
  <c r="J118" i="7"/>
  <c r="K118" i="7" s="1"/>
  <c r="J121" i="7"/>
  <c r="H114" i="7"/>
  <c r="I114" i="7" s="1"/>
  <c r="F113" i="7"/>
  <c r="G113" i="7" s="1"/>
  <c r="C66" i="7"/>
  <c r="D58" i="7" s="1"/>
  <c r="H140" i="7"/>
  <c r="I140" i="7" s="1"/>
  <c r="D115" i="7"/>
  <c r="D142" i="7"/>
  <c r="F118" i="7"/>
  <c r="G118" i="7" s="1"/>
  <c r="F132" i="7"/>
  <c r="G132" i="7" s="1"/>
  <c r="C59" i="7"/>
  <c r="D59" i="7" s="1"/>
  <c r="F116" i="7"/>
  <c r="G116" i="7" s="1"/>
  <c r="H138" i="7"/>
  <c r="I138" i="7" s="1"/>
  <c r="F123" i="7"/>
  <c r="G123" i="7" s="1"/>
  <c r="J130" i="7"/>
  <c r="K130" i="7" s="1"/>
  <c r="H122" i="7"/>
  <c r="I122" i="7" s="1"/>
  <c r="J126" i="7"/>
  <c r="K126" i="7" s="1"/>
  <c r="F126" i="7"/>
  <c r="G126" i="7" s="1"/>
  <c r="D114" i="7"/>
  <c r="I132" i="9"/>
  <c r="D104" i="9"/>
  <c r="J103" i="9"/>
  <c r="C64" i="7"/>
  <c r="F122" i="7"/>
  <c r="G122" i="7" s="1"/>
  <c r="H131" i="7"/>
  <c r="I131" i="7" s="1"/>
  <c r="J120" i="7"/>
  <c r="K120" i="7" s="1"/>
  <c r="H130" i="7"/>
  <c r="I130" i="7" s="1"/>
  <c r="H116" i="7"/>
  <c r="I116" i="7" s="1"/>
  <c r="H134" i="7"/>
  <c r="I134" i="7" s="1"/>
  <c r="J139" i="7"/>
  <c r="K139" i="7" s="1"/>
  <c r="F131" i="7"/>
  <c r="G131" i="7" s="1"/>
  <c r="F119" i="7"/>
  <c r="G119" i="7" s="1"/>
  <c r="J133" i="7"/>
  <c r="F133" i="7"/>
  <c r="G133" i="7" s="1"/>
  <c r="H126" i="7"/>
  <c r="I126" i="7" s="1"/>
  <c r="J114" i="7"/>
  <c r="L114" i="7" s="1"/>
  <c r="M114" i="7" s="1"/>
  <c r="H119" i="7"/>
  <c r="I119" i="7" s="1"/>
  <c r="F130" i="7"/>
  <c r="G130" i="7" s="1"/>
  <c r="F127" i="7"/>
  <c r="G127" i="7" s="1"/>
  <c r="J123" i="7"/>
  <c r="K123" i="7" s="1"/>
  <c r="H133" i="7"/>
  <c r="I133" i="7" s="1"/>
  <c r="H125" i="7"/>
  <c r="I125" i="7" s="1"/>
  <c r="F128" i="7"/>
  <c r="G128" i="7" s="1"/>
  <c r="C56" i="7"/>
  <c r="H137" i="7"/>
  <c r="I137" i="7" s="1"/>
  <c r="H132" i="7"/>
  <c r="I132" i="7" s="1"/>
  <c r="H128" i="7"/>
  <c r="I128" i="7" s="1"/>
  <c r="J137" i="7"/>
  <c r="K137" i="7" s="1"/>
  <c r="H136" i="7"/>
  <c r="I136" i="7" s="1"/>
  <c r="J131" i="7"/>
  <c r="L131" i="7" s="1"/>
  <c r="M131" i="7" s="1"/>
  <c r="H120" i="7"/>
  <c r="I120" i="7" s="1"/>
  <c r="C63" i="7"/>
  <c r="D63" i="7" s="1"/>
  <c r="J136" i="7"/>
  <c r="J125" i="7"/>
  <c r="K125" i="7" s="1"/>
  <c r="H121" i="7"/>
  <c r="I121" i="7" s="1"/>
  <c r="F134" i="7"/>
  <c r="G134" i="7" s="1"/>
  <c r="C57" i="7"/>
  <c r="H141" i="7"/>
  <c r="I141" i="7" s="1"/>
  <c r="F140" i="7"/>
  <c r="G140" i="7" s="1"/>
  <c r="J141" i="7"/>
  <c r="K141" i="7" s="1"/>
  <c r="F142" i="7"/>
  <c r="G142" i="7" s="1"/>
  <c r="R103" i="9"/>
  <c r="C132" i="9"/>
  <c r="C60" i="9"/>
  <c r="E103" i="9"/>
  <c r="F103" i="9" s="1"/>
  <c r="C103" i="9"/>
  <c r="C55" i="9"/>
  <c r="C49" i="9"/>
  <c r="C53" i="9"/>
  <c r="C62" i="9"/>
  <c r="V132" i="9"/>
  <c r="M132" i="9"/>
  <c r="N132" i="9" s="1"/>
  <c r="U104" i="9"/>
  <c r="O132" i="9"/>
  <c r="P132" i="9" s="1"/>
  <c r="Q132" i="9"/>
  <c r="C74" i="8"/>
  <c r="D75" i="8"/>
  <c r="H115" i="7"/>
  <c r="I115" i="7" s="1"/>
  <c r="F125" i="7"/>
  <c r="G125" i="7" s="1"/>
  <c r="D56" i="7"/>
  <c r="D64" i="7"/>
  <c r="L120" i="7"/>
  <c r="M120" i="7" s="1"/>
  <c r="K119" i="7"/>
  <c r="L127" i="7"/>
  <c r="M127" i="7" s="1"/>
  <c r="K127" i="7"/>
  <c r="L135" i="7"/>
  <c r="M135" i="7" s="1"/>
  <c r="K135" i="7"/>
  <c r="K115" i="7"/>
  <c r="L115" i="7"/>
  <c r="M115" i="7" s="1"/>
  <c r="L126" i="7"/>
  <c r="M126" i="7" s="1"/>
  <c r="L142" i="7"/>
  <c r="M142" i="7" s="1"/>
  <c r="L138" i="7"/>
  <c r="M138" i="7" s="1"/>
  <c r="K116" i="7"/>
  <c r="L116" i="7"/>
  <c r="M116" i="7" s="1"/>
  <c r="L139" i="7"/>
  <c r="M139" i="7" s="1"/>
  <c r="K133" i="7"/>
  <c r="L133" i="7"/>
  <c r="M133" i="7" s="1"/>
  <c r="E119" i="7"/>
  <c r="D118" i="7"/>
  <c r="K122" i="7"/>
  <c r="K131" i="7"/>
  <c r="L136" i="7"/>
  <c r="M136" i="7" s="1"/>
  <c r="K136" i="7"/>
  <c r="L140" i="7"/>
  <c r="M140" i="7" s="1"/>
  <c r="K121" i="7"/>
  <c r="L130" i="7"/>
  <c r="M130" i="7" s="1"/>
  <c r="L141" i="7"/>
  <c r="M141" i="7" s="1"/>
  <c r="K129" i="7"/>
  <c r="L129" i="7"/>
  <c r="M129" i="7" s="1"/>
  <c r="L117" i="7"/>
  <c r="M117" i="7" s="1"/>
  <c r="K117" i="7"/>
  <c r="K128" i="7"/>
  <c r="L128" i="7"/>
  <c r="M128" i="7" s="1"/>
  <c r="D65" i="7"/>
  <c r="D57" i="7"/>
  <c r="K134" i="7"/>
  <c r="L134" i="7"/>
  <c r="M134" i="7" s="1"/>
  <c r="K132" i="7"/>
  <c r="L132" i="7"/>
  <c r="M132" i="7" s="1"/>
  <c r="L124" i="7"/>
  <c r="M124" i="7" s="1"/>
  <c r="L113" i="7"/>
  <c r="M113" i="7" s="1"/>
  <c r="K113" i="7"/>
  <c r="L118" i="7"/>
  <c r="M118" i="7" s="1"/>
  <c r="D66" i="7"/>
  <c r="S132" i="9" l="1"/>
  <c r="T132" i="9" s="1"/>
  <c r="R132" i="9"/>
  <c r="D105" i="9"/>
  <c r="I104" i="9"/>
  <c r="G104" i="9"/>
  <c r="H104" i="9" s="1"/>
  <c r="E104" i="9"/>
  <c r="F104" i="9" s="1"/>
  <c r="L121" i="7"/>
  <c r="M121" i="7" s="1"/>
  <c r="L122" i="7"/>
  <c r="M122" i="7" s="1"/>
  <c r="D53" i="9"/>
  <c r="C54" i="9"/>
  <c r="D54" i="9" s="1"/>
  <c r="J132" i="9"/>
  <c r="K132" i="9"/>
  <c r="L132" i="9" s="1"/>
  <c r="L123" i="7"/>
  <c r="M123" i="7" s="1"/>
  <c r="K114" i="7"/>
  <c r="L125" i="7"/>
  <c r="M125" i="7" s="1"/>
  <c r="L137" i="7"/>
  <c r="M137" i="7" s="1"/>
  <c r="O104" i="9"/>
  <c r="P104" i="9" s="1"/>
  <c r="Q104" i="9"/>
  <c r="M104" i="9"/>
  <c r="N104" i="9" s="1"/>
  <c r="V104" i="9"/>
  <c r="U105" i="9"/>
  <c r="L119" i="7"/>
  <c r="M119" i="7" s="1"/>
  <c r="C104" i="9"/>
  <c r="D62" i="9"/>
  <c r="C63" i="9"/>
  <c r="D63" i="9" s="1"/>
  <c r="C56" i="9"/>
  <c r="D56" i="9" s="1"/>
  <c r="D55" i="9"/>
  <c r="C61" i="9"/>
  <c r="G103" i="9"/>
  <c r="H103" i="9" s="1"/>
  <c r="D60" i="9"/>
  <c r="M103" i="9"/>
  <c r="K103" i="9"/>
  <c r="L103" i="9" s="1"/>
  <c r="C75" i="8"/>
  <c r="D76" i="8"/>
  <c r="E120" i="7"/>
  <c r="D119" i="7"/>
  <c r="O103" i="9" l="1"/>
  <c r="P103" i="9" s="1"/>
  <c r="D61" i="9"/>
  <c r="K104" i="9"/>
  <c r="L104" i="9" s="1"/>
  <c r="J104" i="9"/>
  <c r="N103" i="9"/>
  <c r="S103" i="9"/>
  <c r="T103" i="9" s="1"/>
  <c r="I105" i="9"/>
  <c r="D106" i="9"/>
  <c r="G105" i="9"/>
  <c r="H105" i="9" s="1"/>
  <c r="E105" i="9"/>
  <c r="F105" i="9" s="1"/>
  <c r="C105" i="9"/>
  <c r="R104" i="9"/>
  <c r="S104" i="9"/>
  <c r="T104" i="9" s="1"/>
  <c r="V105" i="9"/>
  <c r="U106" i="9"/>
  <c r="O105" i="9"/>
  <c r="P105" i="9" s="1"/>
  <c r="Q105" i="9"/>
  <c r="M105" i="9"/>
  <c r="N105" i="9" s="1"/>
  <c r="D77" i="8"/>
  <c r="C76" i="8"/>
  <c r="E121" i="7"/>
  <c r="D120" i="7"/>
  <c r="I106" i="9" l="1"/>
  <c r="D107" i="9"/>
  <c r="G106" i="9"/>
  <c r="H106" i="9" s="1"/>
  <c r="E106" i="9"/>
  <c r="F106" i="9" s="1"/>
  <c r="C106" i="9"/>
  <c r="M106" i="9"/>
  <c r="N106" i="9" s="1"/>
  <c r="Q106" i="9"/>
  <c r="V106" i="9"/>
  <c r="O106" i="9"/>
  <c r="P106" i="9" s="1"/>
  <c r="U107" i="9"/>
  <c r="K105" i="9"/>
  <c r="L105" i="9" s="1"/>
  <c r="J105" i="9"/>
  <c r="R105" i="9"/>
  <c r="S105" i="9"/>
  <c r="T105" i="9" s="1"/>
  <c r="C77" i="8"/>
  <c r="D78" i="8"/>
  <c r="E122" i="7"/>
  <c r="D121" i="7"/>
  <c r="S106" i="9" l="1"/>
  <c r="T106" i="9" s="1"/>
  <c r="R106" i="9"/>
  <c r="O107" i="9"/>
  <c r="P107" i="9" s="1"/>
  <c r="Q107" i="9"/>
  <c r="M107" i="9"/>
  <c r="N107" i="9" s="1"/>
  <c r="U108" i="9"/>
  <c r="V107" i="9"/>
  <c r="I107" i="9"/>
  <c r="D108" i="9"/>
  <c r="E107" i="9"/>
  <c r="F107" i="9" s="1"/>
  <c r="G107" i="9"/>
  <c r="H107" i="9" s="1"/>
  <c r="C107" i="9"/>
  <c r="J106" i="9"/>
  <c r="K106" i="9"/>
  <c r="L106" i="9" s="1"/>
  <c r="D79" i="8"/>
  <c r="C78" i="8"/>
  <c r="E123" i="7"/>
  <c r="D122" i="7"/>
  <c r="S107" i="9" l="1"/>
  <c r="T107" i="9" s="1"/>
  <c r="R107" i="9"/>
  <c r="V108" i="9"/>
  <c r="U109" i="9"/>
  <c r="Q108" i="9"/>
  <c r="M108" i="9"/>
  <c r="N108" i="9" s="1"/>
  <c r="O108" i="9"/>
  <c r="P108" i="9" s="1"/>
  <c r="K107" i="9"/>
  <c r="L107" i="9" s="1"/>
  <c r="J107" i="9"/>
  <c r="D109" i="9"/>
  <c r="I108" i="9"/>
  <c r="G108" i="9"/>
  <c r="H108" i="9" s="1"/>
  <c r="E108" i="9"/>
  <c r="F108" i="9" s="1"/>
  <c r="C108" i="9"/>
  <c r="D80" i="8"/>
  <c r="C79" i="8"/>
  <c r="E124" i="7"/>
  <c r="D123" i="7"/>
  <c r="M109" i="9" l="1"/>
  <c r="N109" i="9" s="1"/>
  <c r="V109" i="9"/>
  <c r="O109" i="9"/>
  <c r="P109" i="9" s="1"/>
  <c r="Q109" i="9"/>
  <c r="U110" i="9"/>
  <c r="J108" i="9"/>
  <c r="K108" i="9"/>
  <c r="L108" i="9" s="1"/>
  <c r="I109" i="9"/>
  <c r="D110" i="9"/>
  <c r="G109" i="9"/>
  <c r="H109" i="9" s="1"/>
  <c r="E109" i="9"/>
  <c r="F109" i="9" s="1"/>
  <c r="C109" i="9"/>
  <c r="R108" i="9"/>
  <c r="S108" i="9"/>
  <c r="T108" i="9" s="1"/>
  <c r="D81" i="8"/>
  <c r="C80" i="8"/>
  <c r="E125" i="7"/>
  <c r="D124" i="7"/>
  <c r="J109" i="9" l="1"/>
  <c r="K109" i="9"/>
  <c r="L109" i="9" s="1"/>
  <c r="R109" i="9"/>
  <c r="S109" i="9"/>
  <c r="T109" i="9" s="1"/>
  <c r="D111" i="9"/>
  <c r="I110" i="9"/>
  <c r="G110" i="9"/>
  <c r="H110" i="9" s="1"/>
  <c r="E110" i="9"/>
  <c r="F110" i="9" s="1"/>
  <c r="C110" i="9"/>
  <c r="M110" i="9"/>
  <c r="N110" i="9" s="1"/>
  <c r="V110" i="9"/>
  <c r="Q110" i="9"/>
  <c r="O110" i="9"/>
  <c r="P110" i="9" s="1"/>
  <c r="U111" i="9"/>
  <c r="C81" i="8"/>
  <c r="D82" i="8"/>
  <c r="E126" i="7"/>
  <c r="D125" i="7"/>
  <c r="R110" i="9" l="1"/>
  <c r="S110" i="9"/>
  <c r="T110" i="9" s="1"/>
  <c r="K110" i="9"/>
  <c r="L110" i="9" s="1"/>
  <c r="J110" i="9"/>
  <c r="M111" i="9"/>
  <c r="N111" i="9" s="1"/>
  <c r="Q111" i="9"/>
  <c r="U112" i="9"/>
  <c r="V111" i="9"/>
  <c r="O111" i="9"/>
  <c r="P111" i="9" s="1"/>
  <c r="D112" i="9"/>
  <c r="I111" i="9"/>
  <c r="E111" i="9"/>
  <c r="F111" i="9" s="1"/>
  <c r="G111" i="9"/>
  <c r="H111" i="9" s="1"/>
  <c r="C111" i="9"/>
  <c r="D83" i="8"/>
  <c r="C82" i="8"/>
  <c r="E127" i="7"/>
  <c r="D126" i="7"/>
  <c r="J111" i="9" l="1"/>
  <c r="K111" i="9"/>
  <c r="L111" i="9" s="1"/>
  <c r="O112" i="9"/>
  <c r="P112" i="9" s="1"/>
  <c r="U113" i="9"/>
  <c r="V112" i="9"/>
  <c r="Q112" i="9"/>
  <c r="M112" i="9"/>
  <c r="N112" i="9" s="1"/>
  <c r="D113" i="9"/>
  <c r="I112" i="9"/>
  <c r="G112" i="9"/>
  <c r="H112" i="9" s="1"/>
  <c r="E112" i="9"/>
  <c r="F112" i="9" s="1"/>
  <c r="C112" i="9"/>
  <c r="R111" i="9"/>
  <c r="S111" i="9"/>
  <c r="T111" i="9" s="1"/>
  <c r="C83" i="8"/>
  <c r="D84" i="8"/>
  <c r="E128" i="7"/>
  <c r="D127" i="7"/>
  <c r="I113" i="9" l="1"/>
  <c r="D114" i="9"/>
  <c r="G113" i="9"/>
  <c r="H113" i="9" s="1"/>
  <c r="E113" i="9"/>
  <c r="F113" i="9" s="1"/>
  <c r="C113" i="9"/>
  <c r="U114" i="9"/>
  <c r="Q113" i="9"/>
  <c r="M113" i="9"/>
  <c r="N113" i="9" s="1"/>
  <c r="V113" i="9"/>
  <c r="O113" i="9"/>
  <c r="P113" i="9" s="1"/>
  <c r="R112" i="9"/>
  <c r="S112" i="9"/>
  <c r="T112" i="9" s="1"/>
  <c r="J112" i="9"/>
  <c r="K112" i="9"/>
  <c r="L112" i="9" s="1"/>
  <c r="D85" i="8"/>
  <c r="C84" i="8"/>
  <c r="E129" i="7"/>
  <c r="D128" i="7"/>
  <c r="R113" i="9" l="1"/>
  <c r="S113" i="9"/>
  <c r="T113" i="9" s="1"/>
  <c r="O114" i="9"/>
  <c r="P114" i="9" s="1"/>
  <c r="M114" i="9"/>
  <c r="N114" i="9" s="1"/>
  <c r="U115" i="9"/>
  <c r="V114" i="9"/>
  <c r="Q114" i="9"/>
  <c r="I114" i="9"/>
  <c r="D115" i="9"/>
  <c r="G114" i="9"/>
  <c r="H114" i="9" s="1"/>
  <c r="E114" i="9"/>
  <c r="F114" i="9" s="1"/>
  <c r="C114" i="9"/>
  <c r="J113" i="9"/>
  <c r="K113" i="9"/>
  <c r="L113" i="9" s="1"/>
  <c r="D86" i="8"/>
  <c r="C85" i="8"/>
  <c r="E130" i="7"/>
  <c r="D129" i="7"/>
  <c r="R114" i="9" l="1"/>
  <c r="S114" i="9"/>
  <c r="T114" i="9" s="1"/>
  <c r="K114" i="9"/>
  <c r="L114" i="9" s="1"/>
  <c r="J114" i="9"/>
  <c r="D116" i="9"/>
  <c r="I115" i="9"/>
  <c r="G115" i="9"/>
  <c r="H115" i="9" s="1"/>
  <c r="E115" i="9"/>
  <c r="F115" i="9" s="1"/>
  <c r="C115" i="9"/>
  <c r="O115" i="9"/>
  <c r="P115" i="9" s="1"/>
  <c r="M115" i="9"/>
  <c r="N115" i="9" s="1"/>
  <c r="U116" i="9"/>
  <c r="V115" i="9"/>
  <c r="Q115" i="9"/>
  <c r="C86" i="8"/>
  <c r="D87" i="8"/>
  <c r="E131" i="7"/>
  <c r="D130" i="7"/>
  <c r="O116" i="9" l="1"/>
  <c r="P116" i="9" s="1"/>
  <c r="U117" i="9"/>
  <c r="M116" i="9"/>
  <c r="N116" i="9" s="1"/>
  <c r="Q116" i="9"/>
  <c r="V116" i="9"/>
  <c r="S115" i="9"/>
  <c r="T115" i="9" s="1"/>
  <c r="R115" i="9"/>
  <c r="J115" i="9"/>
  <c r="K115" i="9"/>
  <c r="L115" i="9" s="1"/>
  <c r="I116" i="9"/>
  <c r="D117" i="9"/>
  <c r="E116" i="9"/>
  <c r="F116" i="9" s="1"/>
  <c r="G116" i="9"/>
  <c r="H116" i="9" s="1"/>
  <c r="C116" i="9"/>
  <c r="D88" i="8"/>
  <c r="C87" i="8"/>
  <c r="E132" i="7"/>
  <c r="D131" i="7"/>
  <c r="J116" i="9" l="1"/>
  <c r="K116" i="9"/>
  <c r="L116" i="9" s="1"/>
  <c r="S116" i="9"/>
  <c r="T116" i="9" s="1"/>
  <c r="R116" i="9"/>
  <c r="Q117" i="9"/>
  <c r="M117" i="9"/>
  <c r="N117" i="9" s="1"/>
  <c r="V117" i="9"/>
  <c r="O117" i="9"/>
  <c r="P117" i="9" s="1"/>
  <c r="U118" i="9"/>
  <c r="I117" i="9"/>
  <c r="D118" i="9"/>
  <c r="E117" i="9"/>
  <c r="F117" i="9" s="1"/>
  <c r="G117" i="9"/>
  <c r="H117" i="9" s="1"/>
  <c r="C117" i="9"/>
  <c r="D89" i="8"/>
  <c r="C88" i="8"/>
  <c r="D132" i="7"/>
  <c r="E133" i="7"/>
  <c r="I118" i="9" l="1"/>
  <c r="D119" i="9"/>
  <c r="G118" i="9"/>
  <c r="H118" i="9" s="1"/>
  <c r="E118" i="9"/>
  <c r="F118" i="9" s="1"/>
  <c r="C118" i="9"/>
  <c r="J117" i="9"/>
  <c r="K117" i="9"/>
  <c r="L117" i="9" s="1"/>
  <c r="M118" i="9"/>
  <c r="N118" i="9" s="1"/>
  <c r="O118" i="9"/>
  <c r="P118" i="9" s="1"/>
  <c r="V118" i="9"/>
  <c r="U119" i="9"/>
  <c r="Q118" i="9"/>
  <c r="S117" i="9"/>
  <c r="T117" i="9" s="1"/>
  <c r="R117" i="9"/>
  <c r="D90" i="8"/>
  <c r="C89" i="8"/>
  <c r="E134" i="7"/>
  <c r="D133" i="7"/>
  <c r="V119" i="9" l="1"/>
  <c r="Q119" i="9"/>
  <c r="O119" i="9"/>
  <c r="P119" i="9" s="1"/>
  <c r="U120" i="9"/>
  <c r="M119" i="9"/>
  <c r="N119" i="9" s="1"/>
  <c r="D120" i="9"/>
  <c r="I119" i="9"/>
  <c r="E119" i="9"/>
  <c r="F119" i="9" s="1"/>
  <c r="G119" i="9"/>
  <c r="H119" i="9" s="1"/>
  <c r="C119" i="9"/>
  <c r="S118" i="9"/>
  <c r="T118" i="9" s="1"/>
  <c r="R118" i="9"/>
  <c r="J118" i="9"/>
  <c r="K118" i="9"/>
  <c r="L118" i="9" s="1"/>
  <c r="C90" i="8"/>
  <c r="D91" i="8"/>
  <c r="D134" i="7"/>
  <c r="E135" i="7"/>
  <c r="U121" i="9" l="1"/>
  <c r="O120" i="9"/>
  <c r="P120" i="9" s="1"/>
  <c r="M120" i="9"/>
  <c r="N120" i="9" s="1"/>
  <c r="V120" i="9"/>
  <c r="Q120" i="9"/>
  <c r="J119" i="9"/>
  <c r="K119" i="9"/>
  <c r="L119" i="9" s="1"/>
  <c r="D121" i="9"/>
  <c r="I120" i="9"/>
  <c r="E120" i="9"/>
  <c r="F120" i="9" s="1"/>
  <c r="G120" i="9"/>
  <c r="H120" i="9" s="1"/>
  <c r="C120" i="9"/>
  <c r="S119" i="9"/>
  <c r="T119" i="9" s="1"/>
  <c r="R119" i="9"/>
  <c r="C91" i="8"/>
  <c r="D92" i="8"/>
  <c r="D135" i="7"/>
  <c r="E136" i="7"/>
  <c r="D122" i="9" l="1"/>
  <c r="I121" i="9"/>
  <c r="G121" i="9"/>
  <c r="H121" i="9" s="1"/>
  <c r="E121" i="9"/>
  <c r="F121" i="9" s="1"/>
  <c r="C121" i="9"/>
  <c r="K120" i="9"/>
  <c r="L120" i="9" s="1"/>
  <c r="J120" i="9"/>
  <c r="R120" i="9"/>
  <c r="S120" i="9"/>
  <c r="T120" i="9" s="1"/>
  <c r="M121" i="9"/>
  <c r="N121" i="9" s="1"/>
  <c r="V121" i="9"/>
  <c r="O121" i="9"/>
  <c r="P121" i="9" s="1"/>
  <c r="Q121" i="9"/>
  <c r="U122" i="9"/>
  <c r="C92" i="8"/>
  <c r="D93" i="8"/>
  <c r="D136" i="7"/>
  <c r="E137" i="7"/>
  <c r="U123" i="9" l="1"/>
  <c r="V122" i="9"/>
  <c r="M122" i="9"/>
  <c r="N122" i="9" s="1"/>
  <c r="O122" i="9"/>
  <c r="P122" i="9" s="1"/>
  <c r="Q122" i="9"/>
  <c r="K121" i="9"/>
  <c r="L121" i="9" s="1"/>
  <c r="J121" i="9"/>
  <c r="R121" i="9"/>
  <c r="S121" i="9"/>
  <c r="T121" i="9" s="1"/>
  <c r="D123" i="9"/>
  <c r="I122" i="9"/>
  <c r="E122" i="9"/>
  <c r="F122" i="9" s="1"/>
  <c r="G122" i="9"/>
  <c r="H122" i="9" s="1"/>
  <c r="C122" i="9"/>
  <c r="C93" i="8"/>
  <c r="D94" i="8"/>
  <c r="D137" i="7"/>
  <c r="E138" i="7"/>
  <c r="K122" i="9" l="1"/>
  <c r="L122" i="9" s="1"/>
  <c r="J122" i="9"/>
  <c r="I123" i="9"/>
  <c r="D124" i="9"/>
  <c r="E123" i="9"/>
  <c r="F123" i="9" s="1"/>
  <c r="G123" i="9"/>
  <c r="H123" i="9" s="1"/>
  <c r="C123" i="9"/>
  <c r="R122" i="9"/>
  <c r="S122" i="9"/>
  <c r="T122" i="9" s="1"/>
  <c r="V123" i="9"/>
  <c r="O123" i="9"/>
  <c r="P123" i="9" s="1"/>
  <c r="M123" i="9"/>
  <c r="N123" i="9" s="1"/>
  <c r="Q123" i="9"/>
  <c r="U124" i="9"/>
  <c r="C94" i="8"/>
  <c r="D95" i="8"/>
  <c r="D138" i="7"/>
  <c r="E139" i="7"/>
  <c r="K123" i="9" l="1"/>
  <c r="L123" i="9" s="1"/>
  <c r="J123" i="9"/>
  <c r="M124" i="9"/>
  <c r="N124" i="9" s="1"/>
  <c r="V124" i="9"/>
  <c r="O124" i="9"/>
  <c r="P124" i="9" s="1"/>
  <c r="U125" i="9"/>
  <c r="Q124" i="9"/>
  <c r="I124" i="9"/>
  <c r="D125" i="9"/>
  <c r="E124" i="9"/>
  <c r="F124" i="9" s="1"/>
  <c r="G124" i="9"/>
  <c r="H124" i="9" s="1"/>
  <c r="C124" i="9"/>
  <c r="S123" i="9"/>
  <c r="T123" i="9" s="1"/>
  <c r="R123" i="9"/>
  <c r="D96" i="8"/>
  <c r="C95" i="8"/>
  <c r="D139" i="7"/>
  <c r="E140" i="7"/>
  <c r="O125" i="9" l="1"/>
  <c r="P125" i="9" s="1"/>
  <c r="M125" i="9"/>
  <c r="N125" i="9" s="1"/>
  <c r="U126" i="9"/>
  <c r="Q125" i="9"/>
  <c r="V125" i="9"/>
  <c r="K124" i="9"/>
  <c r="L124" i="9" s="1"/>
  <c r="J124" i="9"/>
  <c r="S124" i="9"/>
  <c r="T124" i="9" s="1"/>
  <c r="R124" i="9"/>
  <c r="D126" i="9"/>
  <c r="I125" i="9"/>
  <c r="G125" i="9"/>
  <c r="H125" i="9" s="1"/>
  <c r="E125" i="9"/>
  <c r="F125" i="9" s="1"/>
  <c r="C125" i="9"/>
  <c r="C96" i="8"/>
  <c r="D97" i="8"/>
  <c r="D140" i="7"/>
  <c r="E141" i="7"/>
  <c r="D141" i="7" s="1"/>
  <c r="R125" i="9" l="1"/>
  <c r="S125" i="9"/>
  <c r="T125" i="9" s="1"/>
  <c r="J125" i="9"/>
  <c r="K125" i="9"/>
  <c r="L125" i="9" s="1"/>
  <c r="O126" i="9"/>
  <c r="P126" i="9" s="1"/>
  <c r="V126" i="9"/>
  <c r="U127" i="9"/>
  <c r="Q126" i="9"/>
  <c r="M126" i="9"/>
  <c r="N126" i="9" s="1"/>
  <c r="I126" i="9"/>
  <c r="D127" i="9"/>
  <c r="E126" i="9"/>
  <c r="F126" i="9" s="1"/>
  <c r="G126" i="9"/>
  <c r="H126" i="9" s="1"/>
  <c r="C126" i="9"/>
  <c r="C97" i="8"/>
  <c r="D98" i="8"/>
  <c r="C98" i="8" s="1"/>
  <c r="S126" i="9" l="1"/>
  <c r="T126" i="9" s="1"/>
  <c r="R126" i="9"/>
  <c r="D128" i="9"/>
  <c r="I127" i="9"/>
  <c r="E127" i="9"/>
  <c r="F127" i="9" s="1"/>
  <c r="G127" i="9"/>
  <c r="H127" i="9" s="1"/>
  <c r="C127" i="9"/>
  <c r="V127" i="9"/>
  <c r="O127" i="9"/>
  <c r="P127" i="9" s="1"/>
  <c r="U128" i="9"/>
  <c r="M127" i="9"/>
  <c r="N127" i="9" s="1"/>
  <c r="Q127" i="9"/>
  <c r="K126" i="9"/>
  <c r="L126" i="9" s="1"/>
  <c r="J126" i="9"/>
  <c r="R127" i="9" l="1"/>
  <c r="S127" i="9"/>
  <c r="T127" i="9" s="1"/>
  <c r="I128" i="9"/>
  <c r="D129" i="9"/>
  <c r="E128" i="9"/>
  <c r="F128" i="9" s="1"/>
  <c r="G128" i="9"/>
  <c r="H128" i="9" s="1"/>
  <c r="C128" i="9"/>
  <c r="J127" i="9"/>
  <c r="K127" i="9"/>
  <c r="L127" i="9" s="1"/>
  <c r="O128" i="9"/>
  <c r="P128" i="9" s="1"/>
  <c r="M128" i="9"/>
  <c r="N128" i="9" s="1"/>
  <c r="V128" i="9"/>
  <c r="U129" i="9"/>
  <c r="Q128" i="9"/>
  <c r="R128" i="9" l="1"/>
  <c r="S128" i="9"/>
  <c r="T128" i="9" s="1"/>
  <c r="D130" i="9"/>
  <c r="I129" i="9"/>
  <c r="G129" i="9"/>
  <c r="H129" i="9" s="1"/>
  <c r="E129" i="9"/>
  <c r="F129" i="9" s="1"/>
  <c r="C129" i="9"/>
  <c r="J128" i="9"/>
  <c r="K128" i="9"/>
  <c r="L128" i="9" s="1"/>
  <c r="O129" i="9"/>
  <c r="P129" i="9" s="1"/>
  <c r="M129" i="9"/>
  <c r="N129" i="9" s="1"/>
  <c r="V129" i="9"/>
  <c r="U130" i="9"/>
  <c r="Q129" i="9"/>
  <c r="K129" i="9" l="1"/>
  <c r="L129" i="9" s="1"/>
  <c r="J129" i="9"/>
  <c r="D131" i="9"/>
  <c r="I130" i="9"/>
  <c r="G130" i="9"/>
  <c r="H130" i="9" s="1"/>
  <c r="E130" i="9"/>
  <c r="F130" i="9" s="1"/>
  <c r="C130" i="9"/>
  <c r="R129" i="9"/>
  <c r="S129" i="9"/>
  <c r="T129" i="9" s="1"/>
  <c r="U131" i="9"/>
  <c r="M130" i="9"/>
  <c r="N130" i="9" s="1"/>
  <c r="Q130" i="9"/>
  <c r="O130" i="9"/>
  <c r="P130" i="9" s="1"/>
  <c r="V130" i="9"/>
  <c r="S130" i="9" l="1"/>
  <c r="T130" i="9" s="1"/>
  <c r="R130" i="9"/>
  <c r="I131" i="9"/>
  <c r="G131" i="9"/>
  <c r="H131" i="9" s="1"/>
  <c r="E131" i="9"/>
  <c r="F131" i="9" s="1"/>
  <c r="C131" i="9"/>
  <c r="Q131" i="9"/>
  <c r="V131" i="9"/>
  <c r="M131" i="9"/>
  <c r="N131" i="9" s="1"/>
  <c r="O131" i="9"/>
  <c r="P131" i="9" s="1"/>
  <c r="K130" i="9"/>
  <c r="L130" i="9" s="1"/>
  <c r="J130" i="9"/>
  <c r="R131" i="9" l="1"/>
  <c r="S131" i="9"/>
  <c r="T131" i="9" s="1"/>
  <c r="K131" i="9"/>
  <c r="L131" i="9" s="1"/>
  <c r="J131" i="9"/>
</calcChain>
</file>

<file path=xl/sharedStrings.xml><?xml version="1.0" encoding="utf-8"?>
<sst xmlns="http://schemas.openxmlformats.org/spreadsheetml/2006/main" count="190" uniqueCount="119">
  <si>
    <t xml:space="preserve">Données : </t>
  </si>
  <si>
    <t>Général</t>
  </si>
  <si>
    <r>
      <t>F</t>
    </r>
    <r>
      <rPr>
        <vertAlign val="subscript"/>
        <sz val="10"/>
        <rFont val="Arial"/>
        <family val="2"/>
      </rPr>
      <t>N</t>
    </r>
    <r>
      <rPr>
        <sz val="10"/>
        <rFont val="Arial"/>
        <family val="2"/>
      </rPr>
      <t xml:space="preserve"> : Effort normal sur la zone de contact [N]</t>
    </r>
  </si>
  <si>
    <r>
      <rPr>
        <sz val="10"/>
        <rFont val="Calibri"/>
        <family val="2"/>
      </rPr>
      <t>ν</t>
    </r>
    <r>
      <rPr>
        <vertAlign val="subscript"/>
        <sz val="10"/>
        <rFont val="Arial"/>
        <family val="2"/>
      </rPr>
      <t>1</t>
    </r>
    <r>
      <rPr>
        <sz val="10"/>
        <rFont val="Arial"/>
        <family val="2"/>
      </rPr>
      <t xml:space="preserve"> : coefficient de poisson du matériau 1</t>
    </r>
  </si>
  <si>
    <t>Solide n°1</t>
  </si>
  <si>
    <t>Solide n°2</t>
  </si>
  <si>
    <r>
      <t>R</t>
    </r>
    <r>
      <rPr>
        <vertAlign val="subscript"/>
        <sz val="10"/>
        <rFont val="Arial"/>
        <family val="2"/>
      </rPr>
      <t>1</t>
    </r>
    <r>
      <rPr>
        <sz val="10"/>
        <rFont val="Arial"/>
        <family val="2"/>
      </rPr>
      <t xml:space="preserve"> : Rayon du solide 1 [mm]</t>
    </r>
  </si>
  <si>
    <t>Résultats Contact Linéique</t>
  </si>
  <si>
    <r>
      <t>R</t>
    </r>
    <r>
      <rPr>
        <b/>
        <vertAlign val="subscript"/>
        <sz val="10"/>
        <rFont val="Arial"/>
        <family val="2"/>
      </rPr>
      <t>equiv</t>
    </r>
    <r>
      <rPr>
        <b/>
        <sz val="10"/>
        <rFont val="Arial"/>
        <family val="2"/>
      </rPr>
      <t xml:space="preserve"> : Rayon équivalent [mm]</t>
    </r>
  </si>
  <si>
    <t>b : Demi largeur de contact [mm]</t>
  </si>
  <si>
    <r>
      <t>P</t>
    </r>
    <r>
      <rPr>
        <b/>
        <vertAlign val="subscript"/>
        <sz val="10"/>
        <rFont val="Arial"/>
        <family val="2"/>
      </rPr>
      <t>moy</t>
    </r>
    <r>
      <rPr>
        <b/>
        <sz val="10"/>
        <rFont val="Arial"/>
        <family val="2"/>
      </rPr>
      <t xml:space="preserve"> : Pression Hertzienne moyenne [MPa]</t>
    </r>
  </si>
  <si>
    <r>
      <rPr>
        <b/>
        <sz val="10"/>
        <rFont val="Calibri"/>
        <family val="2"/>
      </rPr>
      <t>δ</t>
    </r>
    <r>
      <rPr>
        <b/>
        <sz val="10"/>
        <rFont val="Arial"/>
        <family val="2"/>
      </rPr>
      <t xml:space="preserve"> : Rapprochement élastique du solide [mm]</t>
    </r>
  </si>
  <si>
    <r>
      <rPr>
        <b/>
        <sz val="10"/>
        <rFont val="Calibri"/>
        <family val="2"/>
      </rPr>
      <t>σ</t>
    </r>
    <r>
      <rPr>
        <b/>
        <vertAlign val="subscript"/>
        <sz val="10"/>
        <rFont val="Arial"/>
        <family val="2"/>
      </rPr>
      <t>z1</t>
    </r>
    <r>
      <rPr>
        <b/>
        <sz val="10"/>
        <rFont val="Arial"/>
        <family val="2"/>
      </rPr>
      <t xml:space="preserve"> : au point O [MPa]</t>
    </r>
  </si>
  <si>
    <r>
      <rPr>
        <b/>
        <sz val="10"/>
        <rFont val="Calibri"/>
        <family val="2"/>
      </rPr>
      <t>σ</t>
    </r>
    <r>
      <rPr>
        <b/>
        <vertAlign val="subscript"/>
        <sz val="10"/>
        <rFont val="Arial"/>
        <family val="2"/>
      </rPr>
      <t>y1</t>
    </r>
    <r>
      <rPr>
        <b/>
        <sz val="10"/>
        <rFont val="Arial"/>
        <family val="2"/>
      </rPr>
      <t xml:space="preserve"> : au point O [MPa]</t>
    </r>
  </si>
  <si>
    <r>
      <rPr>
        <b/>
        <sz val="10"/>
        <rFont val="Calibri"/>
        <family val="2"/>
      </rPr>
      <t>σ</t>
    </r>
    <r>
      <rPr>
        <b/>
        <vertAlign val="subscript"/>
        <sz val="10"/>
        <rFont val="Arial"/>
        <family val="2"/>
      </rPr>
      <t>x1</t>
    </r>
    <r>
      <rPr>
        <b/>
        <sz val="10"/>
        <rFont val="Arial"/>
        <family val="2"/>
      </rPr>
      <t xml:space="preserve"> : au point O [MPa]</t>
    </r>
  </si>
  <si>
    <r>
      <rPr>
        <b/>
        <sz val="10"/>
        <rFont val="Calibri"/>
        <family val="2"/>
      </rPr>
      <t>σ</t>
    </r>
    <r>
      <rPr>
        <b/>
        <vertAlign val="subscript"/>
        <sz val="10"/>
        <rFont val="Arial"/>
        <family val="2"/>
      </rPr>
      <t>z2</t>
    </r>
    <r>
      <rPr>
        <b/>
        <sz val="10"/>
        <rFont val="Arial"/>
        <family val="2"/>
      </rPr>
      <t xml:space="preserve"> : au point O [MPa]</t>
    </r>
  </si>
  <si>
    <r>
      <rPr>
        <b/>
        <sz val="10"/>
        <rFont val="Calibri"/>
        <family val="2"/>
      </rPr>
      <t>σ</t>
    </r>
    <r>
      <rPr>
        <b/>
        <vertAlign val="subscript"/>
        <sz val="10"/>
        <rFont val="Arial"/>
        <family val="2"/>
      </rPr>
      <t>y2</t>
    </r>
    <r>
      <rPr>
        <b/>
        <sz val="10"/>
        <rFont val="Arial"/>
        <family val="2"/>
      </rPr>
      <t xml:space="preserve"> : au point O [MPa]</t>
    </r>
  </si>
  <si>
    <r>
      <rPr>
        <b/>
        <sz val="10"/>
        <rFont val="Calibri"/>
        <family val="2"/>
      </rPr>
      <t>σ</t>
    </r>
    <r>
      <rPr>
        <b/>
        <vertAlign val="subscript"/>
        <sz val="10"/>
        <rFont val="Arial"/>
        <family val="2"/>
      </rPr>
      <t>x2</t>
    </r>
    <r>
      <rPr>
        <b/>
        <sz val="10"/>
        <rFont val="Arial"/>
        <family val="2"/>
      </rPr>
      <t xml:space="preserve"> : au point O [MPa]</t>
    </r>
  </si>
  <si>
    <r>
      <t>R</t>
    </r>
    <r>
      <rPr>
        <vertAlign val="subscript"/>
        <sz val="10"/>
        <rFont val="Arial"/>
        <family val="2"/>
      </rPr>
      <t>2</t>
    </r>
    <r>
      <rPr>
        <sz val="10"/>
        <rFont val="Arial"/>
        <family val="2"/>
      </rPr>
      <t xml:space="preserve"> : Rayon du solide 2 [mm]</t>
    </r>
  </si>
  <si>
    <r>
      <rPr>
        <sz val="10"/>
        <rFont val="Calibri"/>
        <family val="2"/>
      </rPr>
      <t>ν</t>
    </r>
    <r>
      <rPr>
        <vertAlign val="subscript"/>
        <sz val="10"/>
        <rFont val="Arial"/>
        <family val="2"/>
      </rPr>
      <t>2</t>
    </r>
    <r>
      <rPr>
        <sz val="10"/>
        <rFont val="Arial"/>
        <family val="2"/>
      </rPr>
      <t xml:space="preserve"> : coefficient de poisson du matériau 2</t>
    </r>
  </si>
  <si>
    <r>
      <t>E</t>
    </r>
    <r>
      <rPr>
        <vertAlign val="subscript"/>
        <sz val="10"/>
        <rFont val="Arial"/>
        <family val="2"/>
      </rPr>
      <t>2</t>
    </r>
    <r>
      <rPr>
        <sz val="10"/>
        <rFont val="Arial"/>
        <family val="2"/>
      </rPr>
      <t xml:space="preserve"> : Module d'Young du matériau 2 à 20°C [MPa]</t>
    </r>
  </si>
  <si>
    <r>
      <t>E</t>
    </r>
    <r>
      <rPr>
        <vertAlign val="subscript"/>
        <sz val="10"/>
        <rFont val="Arial"/>
        <family val="2"/>
      </rPr>
      <t>1</t>
    </r>
    <r>
      <rPr>
        <sz val="10"/>
        <rFont val="Arial"/>
        <family val="2"/>
      </rPr>
      <t xml:space="preserve"> : Module d'Young du matériau 1 à 20°C [MPa]</t>
    </r>
  </si>
  <si>
    <t>d [mm]</t>
  </si>
  <si>
    <t>P(d) [MPa]</t>
  </si>
  <si>
    <t xml:space="preserve">Pression de contact </t>
  </si>
  <si>
    <t>prof. z [mm]</t>
  </si>
  <si>
    <r>
      <rPr>
        <b/>
        <sz val="10"/>
        <rFont val="Calibri"/>
        <family val="2"/>
      </rPr>
      <t>σ</t>
    </r>
    <r>
      <rPr>
        <b/>
        <vertAlign val="subscript"/>
        <sz val="10"/>
        <rFont val="Arial"/>
        <family val="2"/>
      </rPr>
      <t>y</t>
    </r>
    <r>
      <rPr>
        <b/>
        <sz val="10"/>
        <rFont val="Arial"/>
        <family val="2"/>
      </rPr>
      <t xml:space="preserve"> [MPa]</t>
    </r>
  </si>
  <si>
    <r>
      <rPr>
        <b/>
        <sz val="10"/>
        <rFont val="Calibri"/>
        <family val="2"/>
      </rPr>
      <t>σ</t>
    </r>
    <r>
      <rPr>
        <b/>
        <vertAlign val="subscript"/>
        <sz val="10"/>
        <rFont val="Arial"/>
        <family val="2"/>
      </rPr>
      <t>y</t>
    </r>
    <r>
      <rPr>
        <b/>
        <sz val="10"/>
        <rFont val="Arial"/>
        <family val="2"/>
      </rPr>
      <t>/P</t>
    </r>
    <r>
      <rPr>
        <b/>
        <vertAlign val="subscript"/>
        <sz val="10"/>
        <rFont val="Arial"/>
        <family val="2"/>
      </rPr>
      <t>max</t>
    </r>
    <r>
      <rPr>
        <b/>
        <sz val="10"/>
        <rFont val="Arial"/>
        <family val="2"/>
      </rPr>
      <t xml:space="preserve"> [MPa]</t>
    </r>
  </si>
  <si>
    <t>rapport z/b</t>
  </si>
  <si>
    <r>
      <rPr>
        <b/>
        <sz val="10"/>
        <rFont val="Calibri"/>
        <family val="2"/>
      </rPr>
      <t>σ</t>
    </r>
    <r>
      <rPr>
        <b/>
        <vertAlign val="subscript"/>
        <sz val="10"/>
        <rFont val="Arial"/>
        <family val="2"/>
      </rPr>
      <t>x</t>
    </r>
    <r>
      <rPr>
        <b/>
        <sz val="10"/>
        <rFont val="Arial"/>
        <family val="2"/>
      </rPr>
      <t xml:space="preserve"> [MPa]</t>
    </r>
  </si>
  <si>
    <r>
      <rPr>
        <b/>
        <sz val="10"/>
        <rFont val="Calibri"/>
        <family val="2"/>
      </rPr>
      <t>σ</t>
    </r>
    <r>
      <rPr>
        <b/>
        <vertAlign val="subscript"/>
        <sz val="10"/>
        <rFont val="Arial"/>
        <family val="2"/>
      </rPr>
      <t>x</t>
    </r>
    <r>
      <rPr>
        <b/>
        <sz val="10"/>
        <rFont val="Arial"/>
        <family val="2"/>
      </rPr>
      <t>/P</t>
    </r>
    <r>
      <rPr>
        <b/>
        <vertAlign val="subscript"/>
        <sz val="10"/>
        <rFont val="Arial"/>
        <family val="2"/>
      </rPr>
      <t>max</t>
    </r>
    <r>
      <rPr>
        <b/>
        <sz val="10"/>
        <rFont val="Arial"/>
        <family val="2"/>
      </rPr>
      <t xml:space="preserve"> [MPa]</t>
    </r>
  </si>
  <si>
    <r>
      <rPr>
        <b/>
        <sz val="10"/>
        <rFont val="Calibri"/>
        <family val="2"/>
      </rPr>
      <t>σ</t>
    </r>
    <r>
      <rPr>
        <b/>
        <vertAlign val="subscript"/>
        <sz val="10"/>
        <rFont val="Arial"/>
        <family val="2"/>
      </rPr>
      <t>z</t>
    </r>
    <r>
      <rPr>
        <b/>
        <sz val="10"/>
        <rFont val="Arial"/>
        <family val="2"/>
      </rPr>
      <t xml:space="preserve"> [MPa]</t>
    </r>
  </si>
  <si>
    <r>
      <rPr>
        <b/>
        <sz val="10"/>
        <rFont val="Calibri"/>
        <family val="2"/>
      </rPr>
      <t>σ</t>
    </r>
    <r>
      <rPr>
        <b/>
        <vertAlign val="subscript"/>
        <sz val="10"/>
        <rFont val="Arial"/>
        <family val="2"/>
      </rPr>
      <t>z</t>
    </r>
    <r>
      <rPr>
        <b/>
        <sz val="10"/>
        <rFont val="Arial"/>
        <family val="2"/>
      </rPr>
      <t>/P</t>
    </r>
    <r>
      <rPr>
        <b/>
        <vertAlign val="subscript"/>
        <sz val="10"/>
        <rFont val="Arial"/>
        <family val="2"/>
      </rPr>
      <t>max</t>
    </r>
    <r>
      <rPr>
        <b/>
        <sz val="10"/>
        <rFont val="Arial"/>
        <family val="2"/>
      </rPr>
      <t xml:space="preserve"> [MPa]</t>
    </r>
  </si>
  <si>
    <r>
      <rPr>
        <b/>
        <sz val="10"/>
        <rFont val="Calibri"/>
        <family val="2"/>
      </rPr>
      <t>τ</t>
    </r>
    <r>
      <rPr>
        <b/>
        <vertAlign val="subscript"/>
        <sz val="10"/>
        <rFont val="Arial"/>
        <family val="2"/>
      </rPr>
      <t>xz</t>
    </r>
    <r>
      <rPr>
        <b/>
        <sz val="10"/>
        <rFont val="Arial"/>
        <family val="2"/>
      </rPr>
      <t xml:space="preserve"> [MPa]</t>
    </r>
  </si>
  <si>
    <r>
      <rPr>
        <b/>
        <sz val="10"/>
        <rFont val="Calibri"/>
        <family val="2"/>
      </rPr>
      <t>τ</t>
    </r>
    <r>
      <rPr>
        <b/>
        <vertAlign val="subscript"/>
        <sz val="10"/>
        <rFont val="Arial"/>
        <family val="2"/>
      </rPr>
      <t>xz</t>
    </r>
    <r>
      <rPr>
        <b/>
        <sz val="10"/>
        <rFont val="Arial"/>
        <family val="2"/>
      </rPr>
      <t>/P</t>
    </r>
    <r>
      <rPr>
        <b/>
        <vertAlign val="subscript"/>
        <sz val="10"/>
        <rFont val="Arial"/>
        <family val="2"/>
      </rPr>
      <t>max</t>
    </r>
    <r>
      <rPr>
        <b/>
        <sz val="10"/>
        <rFont val="Arial"/>
        <family val="2"/>
      </rPr>
      <t xml:space="preserve"> [MPa]</t>
    </r>
  </si>
  <si>
    <r>
      <t>F</t>
    </r>
    <r>
      <rPr>
        <vertAlign val="subscript"/>
        <sz val="10"/>
        <rFont val="Arial"/>
        <family val="2"/>
      </rPr>
      <t>r</t>
    </r>
    <r>
      <rPr>
        <b/>
        <sz val="10"/>
        <rFont val="Arial"/>
        <family val="2"/>
      </rPr>
      <t xml:space="preserve"> : Coefficient de frottement de roulement [N]</t>
    </r>
  </si>
  <si>
    <t>Contrainte dans les différentes directions sur Oz (solide n°2)</t>
  </si>
  <si>
    <t>a : rayon du poinçon [mm]</t>
  </si>
  <si>
    <t>Solide Elastique</t>
  </si>
  <si>
    <t>r [mm]</t>
  </si>
  <si>
    <t>P(r) [MPa]</t>
  </si>
  <si>
    <t>Contact de Hertz ponctuel</t>
  </si>
  <si>
    <t>pierre-alexandre.bertrand@neel.cnrs.fr</t>
  </si>
  <si>
    <t>Ref :</t>
  </si>
  <si>
    <t>Date :</t>
  </si>
  <si>
    <t>E : Module d'Young à 20°C [MPa]</t>
  </si>
  <si>
    <r>
      <rPr>
        <sz val="10"/>
        <rFont val="Calibri"/>
        <family val="2"/>
      </rPr>
      <t>ν</t>
    </r>
    <r>
      <rPr>
        <sz val="10"/>
        <rFont val="Arial"/>
        <family val="2"/>
      </rPr>
      <t xml:space="preserve"> : coefficient de poisson</t>
    </r>
  </si>
  <si>
    <r>
      <rPr>
        <b/>
        <sz val="10"/>
        <rFont val="Calibri"/>
        <family val="2"/>
      </rPr>
      <t>σ</t>
    </r>
    <r>
      <rPr>
        <b/>
        <vertAlign val="subscript"/>
        <sz val="10"/>
        <rFont val="Arial"/>
        <family val="2"/>
      </rPr>
      <t>r1</t>
    </r>
    <r>
      <rPr>
        <b/>
        <sz val="10"/>
        <rFont val="Arial"/>
        <family val="2"/>
      </rPr>
      <t xml:space="preserve"> : au point O [MPa]</t>
    </r>
  </si>
  <si>
    <r>
      <rPr>
        <b/>
        <sz val="10"/>
        <rFont val="Calibri"/>
        <family val="2"/>
      </rPr>
      <t>σ</t>
    </r>
    <r>
      <rPr>
        <b/>
        <vertAlign val="subscript"/>
        <sz val="10"/>
        <rFont val="Calibri"/>
        <family val="2"/>
      </rPr>
      <t>θ</t>
    </r>
    <r>
      <rPr>
        <b/>
        <vertAlign val="subscript"/>
        <sz val="10"/>
        <rFont val="Arial"/>
        <family val="2"/>
      </rPr>
      <t>1</t>
    </r>
    <r>
      <rPr>
        <b/>
        <sz val="10"/>
        <rFont val="Arial"/>
        <family val="2"/>
      </rPr>
      <t xml:space="preserve"> : au point O [MPa]</t>
    </r>
  </si>
  <si>
    <r>
      <rPr>
        <b/>
        <sz val="10"/>
        <rFont val="Calibri"/>
        <family val="2"/>
      </rPr>
      <t>σ</t>
    </r>
    <r>
      <rPr>
        <b/>
        <vertAlign val="subscript"/>
        <sz val="10"/>
        <rFont val="Arial"/>
        <family val="2"/>
      </rPr>
      <t>r2</t>
    </r>
    <r>
      <rPr>
        <b/>
        <sz val="10"/>
        <rFont val="Arial"/>
        <family val="2"/>
      </rPr>
      <t xml:space="preserve"> : au point O [MPa]</t>
    </r>
  </si>
  <si>
    <r>
      <rPr>
        <b/>
        <sz val="10"/>
        <rFont val="Calibri"/>
        <family val="2"/>
      </rPr>
      <t>σ</t>
    </r>
    <r>
      <rPr>
        <b/>
        <vertAlign val="subscript"/>
        <sz val="10"/>
        <rFont val="Calibri"/>
        <family val="2"/>
      </rPr>
      <t>θ</t>
    </r>
    <r>
      <rPr>
        <b/>
        <vertAlign val="subscript"/>
        <sz val="10"/>
        <rFont val="Arial"/>
        <family val="2"/>
      </rPr>
      <t>2</t>
    </r>
    <r>
      <rPr>
        <b/>
        <sz val="10"/>
        <rFont val="Arial"/>
        <family val="2"/>
      </rPr>
      <t xml:space="preserve"> : au point O [MPa]</t>
    </r>
  </si>
  <si>
    <t>b : Rayon du cercle de contact [mm]</t>
  </si>
  <si>
    <r>
      <t>z</t>
    </r>
    <r>
      <rPr>
        <b/>
        <vertAlign val="subscript"/>
        <sz val="10"/>
        <rFont val="Arial"/>
        <family val="2"/>
      </rPr>
      <t>1</t>
    </r>
    <r>
      <rPr>
        <b/>
        <sz val="10"/>
        <rFont val="Arial"/>
        <family val="2"/>
      </rPr>
      <t xml:space="preserve"> : profondeur à laquelle on a τ</t>
    </r>
    <r>
      <rPr>
        <b/>
        <vertAlign val="subscript"/>
        <sz val="10"/>
        <rFont val="Arial"/>
        <family val="2"/>
      </rPr>
      <t>max</t>
    </r>
    <r>
      <rPr>
        <b/>
        <sz val="10"/>
        <rFont val="Arial"/>
        <family val="2"/>
      </rPr>
      <t xml:space="preserve"> [mm]</t>
    </r>
  </si>
  <si>
    <r>
      <t>z</t>
    </r>
    <r>
      <rPr>
        <b/>
        <vertAlign val="subscript"/>
        <sz val="10"/>
        <rFont val="Arial"/>
        <family val="2"/>
      </rPr>
      <t>2</t>
    </r>
    <r>
      <rPr>
        <b/>
        <sz val="10"/>
        <rFont val="Arial"/>
        <family val="2"/>
      </rPr>
      <t xml:space="preserve"> : profondeur à laquelle on a τ</t>
    </r>
    <r>
      <rPr>
        <b/>
        <vertAlign val="subscript"/>
        <sz val="10"/>
        <rFont val="Arial"/>
        <family val="2"/>
      </rPr>
      <t>max</t>
    </r>
    <r>
      <rPr>
        <b/>
        <sz val="10"/>
        <rFont val="Arial"/>
        <family val="2"/>
      </rPr>
      <t xml:space="preserve"> [mm]</t>
    </r>
  </si>
  <si>
    <t>Bibliographie</t>
  </si>
  <si>
    <t>Réf. :</t>
  </si>
  <si>
    <r>
      <t>Date :</t>
    </r>
    <r>
      <rPr>
        <sz val="10"/>
        <rFont val="Arial"/>
      </rPr>
      <t xml:space="preserve"> </t>
    </r>
  </si>
  <si>
    <t>Emmanuel.Roy@grenoble.cnrs.fr</t>
  </si>
  <si>
    <t>Versions</t>
  </si>
  <si>
    <t>Version 0</t>
  </si>
  <si>
    <t>Version 1</t>
  </si>
  <si>
    <t>Version 2</t>
  </si>
  <si>
    <t>Intégration des feuilles "Versions" et "Références bibliographiques"</t>
  </si>
  <si>
    <t>Nouvelle mise en forme pour tous les onglets</t>
  </si>
  <si>
    <t>Ajout des graphiques "Pression de contact" et "Répartition des contraintes"</t>
  </si>
  <si>
    <r>
      <t xml:space="preserve">J. BLOUET et R. GRAS, </t>
    </r>
    <r>
      <rPr>
        <b/>
        <i/>
        <sz val="10"/>
        <rFont val="Arial"/>
        <family val="2"/>
      </rPr>
      <t>Mecanique des surfaces</t>
    </r>
    <r>
      <rPr>
        <b/>
        <sz val="10"/>
        <rFont val="Arial"/>
        <family val="2"/>
      </rPr>
      <t>, Cours dispensé à l'Institut Supérieur des Matériaux et de la Construction Mécanique (ISMCM)</t>
    </r>
  </si>
  <si>
    <r>
      <t xml:space="preserve">LMS SAMTECH, </t>
    </r>
    <r>
      <rPr>
        <b/>
        <i/>
        <sz val="10"/>
        <rFont val="Arial"/>
        <family val="2"/>
      </rPr>
      <t>Hertz Contact Problem</t>
    </r>
    <r>
      <rPr>
        <b/>
        <sz val="10"/>
        <rFont val="Arial"/>
        <family val="2"/>
      </rPr>
      <t xml:space="preserve">, Documentation du logiciel de calcul de strcure par éléments finis SAMCEF V15, </t>
    </r>
  </si>
  <si>
    <t>Nouvelles illustrations des différentes configurations de contact</t>
  </si>
  <si>
    <t>Ajout de la feuille de calcul "Contact Poinçon Plan"</t>
  </si>
  <si>
    <r>
      <rPr>
        <b/>
        <sz val="10"/>
        <rFont val="Calibri"/>
        <family val="2"/>
      </rPr>
      <t>σ</t>
    </r>
    <r>
      <rPr>
        <b/>
        <vertAlign val="subscript"/>
        <sz val="10"/>
        <rFont val="Arial"/>
        <family val="2"/>
      </rPr>
      <t>r</t>
    </r>
    <r>
      <rPr>
        <b/>
        <sz val="10"/>
        <rFont val="Arial"/>
        <family val="2"/>
      </rPr>
      <t xml:space="preserve"> [MPa]</t>
    </r>
  </si>
  <si>
    <r>
      <rPr>
        <b/>
        <sz val="10"/>
        <rFont val="Calibri"/>
        <family val="2"/>
      </rPr>
      <t>σ</t>
    </r>
    <r>
      <rPr>
        <b/>
        <vertAlign val="subscript"/>
        <sz val="10"/>
        <rFont val="Arial"/>
        <family val="2"/>
      </rPr>
      <t>r</t>
    </r>
    <r>
      <rPr>
        <b/>
        <sz val="10"/>
        <rFont val="Arial"/>
        <family val="2"/>
      </rPr>
      <t>/P</t>
    </r>
    <r>
      <rPr>
        <b/>
        <vertAlign val="subscript"/>
        <sz val="10"/>
        <rFont val="Arial"/>
        <family val="2"/>
      </rPr>
      <t>max</t>
    </r>
    <r>
      <rPr>
        <b/>
        <sz val="10"/>
        <rFont val="Arial"/>
        <family val="2"/>
      </rPr>
      <t xml:space="preserve"> [MPa]</t>
    </r>
  </si>
  <si>
    <r>
      <rPr>
        <b/>
        <sz val="10"/>
        <rFont val="Calibri"/>
        <family val="2"/>
      </rPr>
      <t>σ</t>
    </r>
    <r>
      <rPr>
        <b/>
        <vertAlign val="subscript"/>
        <sz val="10"/>
        <rFont val="Calibri"/>
        <family val="2"/>
      </rPr>
      <t>θ</t>
    </r>
    <r>
      <rPr>
        <b/>
        <sz val="10"/>
        <rFont val="Arial"/>
        <family val="2"/>
      </rPr>
      <t xml:space="preserve"> [MPa]</t>
    </r>
  </si>
  <si>
    <r>
      <rPr>
        <b/>
        <sz val="10"/>
        <rFont val="Calibri"/>
        <family val="2"/>
      </rPr>
      <t>σ</t>
    </r>
    <r>
      <rPr>
        <b/>
        <vertAlign val="subscript"/>
        <sz val="10"/>
        <rFont val="Calibri"/>
        <family val="2"/>
      </rPr>
      <t>θ</t>
    </r>
    <r>
      <rPr>
        <b/>
        <sz val="10"/>
        <rFont val="Arial"/>
        <family val="2"/>
      </rPr>
      <t>/P</t>
    </r>
    <r>
      <rPr>
        <b/>
        <vertAlign val="subscript"/>
        <sz val="10"/>
        <rFont val="Arial"/>
        <family val="2"/>
      </rPr>
      <t>max</t>
    </r>
    <r>
      <rPr>
        <b/>
        <sz val="10"/>
        <rFont val="Arial"/>
        <family val="2"/>
      </rPr>
      <t xml:space="preserve"> [MPa]</t>
    </r>
  </si>
  <si>
    <t>Contraintes dans le cercle de contact pour le solide n°2</t>
  </si>
  <si>
    <t>Contraintes sur l'axe Oz le solide n°2 (sous la surface)</t>
  </si>
  <si>
    <r>
      <t>P</t>
    </r>
    <r>
      <rPr>
        <b/>
        <vertAlign val="subscript"/>
        <sz val="10"/>
        <rFont val="Arial"/>
        <family val="2"/>
      </rPr>
      <t>O</t>
    </r>
    <r>
      <rPr>
        <b/>
        <sz val="10"/>
        <rFont val="Arial"/>
        <family val="2"/>
      </rPr>
      <t>=P</t>
    </r>
    <r>
      <rPr>
        <b/>
        <vertAlign val="subscript"/>
        <sz val="10"/>
        <rFont val="Arial"/>
        <family val="2"/>
      </rPr>
      <t xml:space="preserve">min </t>
    </r>
    <r>
      <rPr>
        <b/>
        <sz val="10"/>
        <rFont val="Arial"/>
        <family val="2"/>
      </rPr>
      <t>: Pression Hertzienne au point O ( [MPa]</t>
    </r>
  </si>
  <si>
    <r>
      <t xml:space="preserve">Correction des formules </t>
    </r>
    <r>
      <rPr>
        <sz val="10"/>
        <rFont val="Calibri"/>
        <family val="2"/>
      </rPr>
      <t>τ</t>
    </r>
    <r>
      <rPr>
        <vertAlign val="subscript"/>
        <sz val="10"/>
        <rFont val="Arial"/>
        <family val="2"/>
      </rPr>
      <t>max</t>
    </r>
    <r>
      <rPr>
        <sz val="10"/>
        <rFont val="Arial"/>
        <family val="2"/>
      </rPr>
      <t xml:space="preserve"> et </t>
    </r>
    <r>
      <rPr>
        <sz val="10"/>
        <rFont val="Calibri"/>
        <family val="2"/>
      </rPr>
      <t xml:space="preserve">δ </t>
    </r>
    <r>
      <rPr>
        <sz val="10"/>
        <rFont val="Arial"/>
        <family val="2"/>
      </rPr>
      <t>dans la feuille "Contact Ponctuel"</t>
    </r>
  </si>
  <si>
    <r>
      <rPr>
        <b/>
        <i/>
        <sz val="10"/>
        <rFont val="Arial"/>
        <family val="2"/>
      </rPr>
      <t>Elasticité</t>
    </r>
    <r>
      <rPr>
        <b/>
        <sz val="10"/>
        <rFont val="Arial"/>
        <family val="2"/>
      </rPr>
      <t>, Les Techniques de l'Ingénieur</t>
    </r>
  </si>
  <si>
    <t>Pour information</t>
  </si>
  <si>
    <r>
      <t>P</t>
    </r>
    <r>
      <rPr>
        <b/>
        <vertAlign val="subscript"/>
        <sz val="10"/>
        <rFont val="Arial"/>
        <family val="2"/>
      </rPr>
      <t>O</t>
    </r>
    <r>
      <rPr>
        <b/>
        <sz val="10"/>
        <rFont val="Arial"/>
        <family val="2"/>
      </rPr>
      <t>=P</t>
    </r>
    <r>
      <rPr>
        <b/>
        <vertAlign val="subscript"/>
        <sz val="10"/>
        <rFont val="Arial"/>
        <family val="2"/>
      </rPr>
      <t xml:space="preserve">max </t>
    </r>
    <r>
      <rPr>
        <b/>
        <sz val="10"/>
        <rFont val="Arial"/>
        <family val="2"/>
      </rPr>
      <t>: Pression Hertzienne au point O ( [MPa]</t>
    </r>
  </si>
  <si>
    <t>Résultats Contact Ponctuel :</t>
  </si>
  <si>
    <t>http://barreau.matthieu.free.fr/cours/Liaison-pivot/pages/roulements-1.html</t>
  </si>
  <si>
    <r>
      <t>K</t>
    </r>
    <r>
      <rPr>
        <b/>
        <vertAlign val="subscript"/>
        <sz val="10"/>
        <rFont val="Arial"/>
        <family val="2"/>
      </rPr>
      <t>1</t>
    </r>
    <r>
      <rPr>
        <b/>
        <sz val="10"/>
        <rFont val="Arial"/>
        <family val="2"/>
      </rPr>
      <t xml:space="preserve"> : Module réduit du solide 1</t>
    </r>
  </si>
  <si>
    <r>
      <t>K</t>
    </r>
    <r>
      <rPr>
        <b/>
        <vertAlign val="subscript"/>
        <sz val="10"/>
        <rFont val="Arial"/>
        <family val="2"/>
      </rPr>
      <t>2</t>
    </r>
    <r>
      <rPr>
        <b/>
        <sz val="10"/>
        <rFont val="Arial"/>
        <family val="2"/>
      </rPr>
      <t xml:space="preserve"> : Module réduit du solide 2</t>
    </r>
  </si>
  <si>
    <r>
      <t>R</t>
    </r>
    <r>
      <rPr>
        <vertAlign val="subscript"/>
        <sz val="10"/>
        <rFont val="Arial"/>
        <family val="2"/>
      </rPr>
      <t>e1</t>
    </r>
    <r>
      <rPr>
        <sz val="10"/>
        <rFont val="Arial"/>
        <family val="2"/>
      </rPr>
      <t xml:space="preserve"> : Limite élastique en trac/comp du matériau 1 [MPa]</t>
    </r>
  </si>
  <si>
    <r>
      <t>R</t>
    </r>
    <r>
      <rPr>
        <vertAlign val="subscript"/>
        <sz val="10"/>
        <rFont val="Arial"/>
        <family val="2"/>
      </rPr>
      <t>G1</t>
    </r>
    <r>
      <rPr>
        <sz val="10"/>
        <rFont val="Arial"/>
        <family val="2"/>
      </rPr>
      <t xml:space="preserve"> : Limite élastique en cisaillement du matériau 1 [MPa]</t>
    </r>
  </si>
  <si>
    <r>
      <t>R</t>
    </r>
    <r>
      <rPr>
        <vertAlign val="subscript"/>
        <sz val="10"/>
        <rFont val="Arial"/>
        <family val="2"/>
      </rPr>
      <t>G2</t>
    </r>
    <r>
      <rPr>
        <sz val="10"/>
        <rFont val="Arial"/>
        <family val="2"/>
      </rPr>
      <t xml:space="preserve"> : Limite élastique en cisaillement du matériau 2 [MPa]</t>
    </r>
  </si>
  <si>
    <r>
      <t>R</t>
    </r>
    <r>
      <rPr>
        <vertAlign val="subscript"/>
        <sz val="10"/>
        <rFont val="Arial"/>
        <family val="2"/>
      </rPr>
      <t>e2</t>
    </r>
    <r>
      <rPr>
        <sz val="10"/>
        <rFont val="Arial"/>
        <family val="2"/>
      </rPr>
      <t xml:space="preserve"> : Limite élastique en trac/comp du matériau 2 [MPa]</t>
    </r>
  </si>
  <si>
    <r>
      <rPr>
        <b/>
        <sz val="10"/>
        <rFont val="Calibri"/>
        <family val="2"/>
      </rPr>
      <t>τ</t>
    </r>
    <r>
      <rPr>
        <b/>
        <vertAlign val="subscript"/>
        <sz val="10"/>
        <rFont val="Arial"/>
        <family val="2"/>
      </rPr>
      <t>O</t>
    </r>
    <r>
      <rPr>
        <b/>
        <sz val="10"/>
        <rFont val="Arial"/>
        <family val="2"/>
      </rPr>
      <t xml:space="preserve"> : cisaillement au point O du solide 2 [MPa]</t>
    </r>
  </si>
  <si>
    <r>
      <rPr>
        <b/>
        <sz val="10"/>
        <rFont val="Calibri"/>
        <family val="2"/>
      </rPr>
      <t>τ</t>
    </r>
    <r>
      <rPr>
        <b/>
        <vertAlign val="subscript"/>
        <sz val="10"/>
        <rFont val="Arial"/>
        <family val="2"/>
      </rPr>
      <t>max</t>
    </r>
    <r>
      <rPr>
        <b/>
        <sz val="10"/>
        <rFont val="Arial"/>
        <family val="2"/>
      </rPr>
      <t xml:space="preserve"> : cisaillement max dans le solide 2 [MPa]</t>
    </r>
  </si>
  <si>
    <r>
      <rPr>
        <b/>
        <sz val="10"/>
        <rFont val="Calibri"/>
        <family val="2"/>
      </rPr>
      <t>τ</t>
    </r>
    <r>
      <rPr>
        <b/>
        <vertAlign val="subscript"/>
        <sz val="10"/>
        <rFont val="Arial"/>
        <family val="2"/>
      </rPr>
      <t>max</t>
    </r>
    <r>
      <rPr>
        <b/>
        <sz val="10"/>
        <rFont val="Arial"/>
        <family val="2"/>
      </rPr>
      <t xml:space="preserve"> : cisaillement max dans le solide 1 [MPa]</t>
    </r>
  </si>
  <si>
    <r>
      <rPr>
        <b/>
        <sz val="10"/>
        <rFont val="Calibri"/>
        <family val="2"/>
      </rPr>
      <t>τ</t>
    </r>
    <r>
      <rPr>
        <b/>
        <vertAlign val="subscript"/>
        <sz val="10"/>
        <rFont val="Arial"/>
        <family val="2"/>
      </rPr>
      <t>O</t>
    </r>
    <r>
      <rPr>
        <b/>
        <sz val="10"/>
        <rFont val="Arial"/>
        <family val="2"/>
      </rPr>
      <t xml:space="preserve"> : cisaillement au point O du solide 1 [MPa]</t>
    </r>
  </si>
  <si>
    <t>Contact de Hertz Linéaire</t>
  </si>
  <si>
    <r>
      <t>R</t>
    </r>
    <r>
      <rPr>
        <vertAlign val="subscript"/>
        <sz val="10"/>
        <rFont val="Arial"/>
        <family val="2"/>
      </rPr>
      <t>G</t>
    </r>
    <r>
      <rPr>
        <sz val="10"/>
        <rFont val="Arial"/>
        <family val="2"/>
      </rPr>
      <t xml:space="preserve"> : Limite élastique en cisaillement [MPa]</t>
    </r>
  </si>
  <si>
    <r>
      <t>R</t>
    </r>
    <r>
      <rPr>
        <vertAlign val="subscript"/>
        <sz val="10"/>
        <rFont val="Arial"/>
        <family val="2"/>
      </rPr>
      <t>e</t>
    </r>
    <r>
      <rPr>
        <sz val="10"/>
        <rFont val="Arial"/>
        <family val="2"/>
      </rPr>
      <t xml:space="preserve"> : Limite élastique en trac/comp [MPa]</t>
    </r>
  </si>
  <si>
    <t>Résultats Contact poinçon plan sur massif élastique :</t>
  </si>
  <si>
    <t>Version 3</t>
  </si>
  <si>
    <t>Mise en place de tests sur les valeurs des rayons "Contact Linéaire"</t>
  </si>
  <si>
    <t>Mise en place de tests sur les valeurs des rayons "Contact Ponctuel"</t>
  </si>
  <si>
    <t xml:space="preserve">Catalogue des géométries traitées </t>
  </si>
  <si>
    <t>Contact Ponctuel</t>
  </si>
  <si>
    <t>Contact Linéaire</t>
  </si>
  <si>
    <t>Contact Poinçon-Plan</t>
  </si>
  <si>
    <t>Nouvelle feuille "GENERAL" répertoriant les cas traités (avec liens hypertextes)</t>
  </si>
  <si>
    <t>Quelques explications</t>
  </si>
  <si>
    <t>Contact Poinçon plan rigide
sur massif élastique</t>
  </si>
  <si>
    <t>Le formulaire Calcul-de-hertz permet de calculer les pressions de contact entre deux solides.</t>
  </si>
  <si>
    <t>D'autres informations sont disponibles tels que les contraintes normales et les contraintes de cisaillement ou encore la distance de contact.</t>
  </si>
  <si>
    <t>A partir du catalogue, l'utilisateur sélectionne la feuille de calcul adéquate.</t>
  </si>
  <si>
    <t xml:space="preserve">Les champs à renseigner sont surlignés en bleu : caractéristiques géométriques, données matériaux, effort appliqué. </t>
  </si>
  <si>
    <t>Les résultats : pression et distance de contact, contraintes normales et de cisaillement sont indiquées dans les cellules surlignées en jaune.</t>
  </si>
  <si>
    <r>
      <t>Cette feuille de calcul permet de déterminer le rayon de la zone de contact, la pression de contact, les contraintes dans les deux solides en présence, le rapprochement élastique des deux solides ou encore le coefficient de frottement. Des graphiques illustrent l'allure de la pression de contact et des contraintes.
Les formulations données ci-dessous sont données pour un contact de type "</t>
    </r>
    <r>
      <rPr>
        <b/>
        <u/>
        <sz val="10"/>
        <rFont val="Arial"/>
        <family val="2"/>
      </rPr>
      <t>ponctuel</t>
    </r>
    <r>
      <rPr>
        <sz val="10"/>
        <rFont val="Arial"/>
        <family val="2"/>
      </rPr>
      <t>". Différentes configurations sont prises en compte : contact sphère-plan, contact sphère-cavité_sphérique et contact sphère-sphère (voir schéma ci-dessous).
Remarques :
- Le contact entre la sphère et le massif forme est un disque. Le point O, est le centre de ce cercle de contact.
- La contrainte de cisaillement passe par un maximum situé en dessous de la surface de contact, à une profondeur notée z</t>
    </r>
    <r>
      <rPr>
        <vertAlign val="subscript"/>
        <sz val="10"/>
        <rFont val="Arial"/>
        <family val="2"/>
      </rPr>
      <t>i</t>
    </r>
    <r>
      <rPr>
        <sz val="10"/>
        <rFont val="Arial"/>
        <family val="2"/>
      </rPr>
      <t>.
- Les graphiques illustrent les contraintes calculées pour le solide n°2 (en bleu sur les figures). Pour avoir la répartition et l’illustration des contraintes dans le solide 1, il suffit d’intervertir les valeurs du solide 1 et du solide 2.</t>
    </r>
  </si>
  <si>
    <t>Les différents cas s'accompagent de courbes permettant d'illustrer les différentes quantités calculées.</t>
  </si>
  <si>
    <r>
      <t>Cette feuille de calcul permet de déterminer la largeur de contact, la pression de contact, les contraintes dans les deux solides en présence. Des graphiques illustrent l'allure de la pression de contact et des contraintes.
Les formulations données ci-dessous sont données pour un un contact de type "</t>
    </r>
    <r>
      <rPr>
        <b/>
        <u/>
        <sz val="10"/>
        <rFont val="Arial"/>
        <family val="2"/>
      </rPr>
      <t>linéaire</t>
    </r>
    <r>
      <rPr>
        <sz val="10"/>
        <rFont val="Arial"/>
        <family val="2"/>
      </rPr>
      <t>". Différentes configurations sont prises en compte : contact cylindre-Plan, contact cylindre-cavité_cylindrique et contact cylindre-cylindre (voir schéma ci dessous).
Remarques :
- Le point 0 est le point de contact entre les 2 pièces.
- La contrainte de cisaillement passe par un maximum situé en dessous de la surface de contact, à une profondeur notée z</t>
    </r>
    <r>
      <rPr>
        <vertAlign val="subscript"/>
        <sz val="10"/>
        <rFont val="Arial"/>
        <family val="2"/>
      </rPr>
      <t>i</t>
    </r>
    <r>
      <rPr>
        <sz val="10"/>
        <rFont val="Arial"/>
        <family val="2"/>
      </rPr>
      <t>.
- Les graphiques illustrent les contraintes calculées pour le solide n°2 (en bleu sur les figures). Pour avoir la répartition et l’illustration des contraintes dans le solide 1, il suffit d’intervertir les valeurs du solide 1 et du solide 2.</t>
    </r>
  </si>
  <si>
    <r>
      <t>Cette feuille de calcul permet de déterminer la pression de contact et le rapprochement élastique d'un poinçon supposé infiniment rigide sur un massif élastique.
Les formulations ci-dessous sont données pour un un contact de type "</t>
    </r>
    <r>
      <rPr>
        <b/>
        <u/>
        <sz val="10"/>
        <rFont val="Arial"/>
        <family val="2"/>
      </rPr>
      <t>Poinçon sur massif élastique</t>
    </r>
    <r>
      <rPr>
        <sz val="10"/>
        <rFont val="Arial"/>
        <family val="2"/>
      </rPr>
      <t>".
Remarques :
- Le point O est le centre du poinçon.
- La pression est infinie sur la circonférence (r=a). Mais dans cette zone, le solide se déforme plastiquement. Ceci constitue un effet local, qui n'affecte pas sensiblement la distribution des pressions aux points situés pas trop près du cercle de contact.
- Le déplacement vertical est constant et égal à l'enfoncement δ du poinçon.
- La distribution des contraintes n'est pas constante et est directement liée à la distribution de pression calculée par BOUSSINESQ.
- La valeur minimale de la pression est atteinte à r=0 et vaut la moitié de la pression moyenne.</t>
    </r>
  </si>
  <si>
    <t>Les surfaces sont considérées continues</t>
  </si>
  <si>
    <t>Le contact est traité de façon linéaire et élastique. Les déformations sont considérées petites.</t>
  </si>
  <si>
    <t>Chaque solide peut être considéré comme un milieu semi-infini.</t>
  </si>
  <si>
    <t>a : Largeur de contact du cylindre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</si>
</sst>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
    <numFmt numFmtId="165" formatCode="0.0000"/>
    <numFmt numFmtId="166" formatCode="0.000"/>
    <numFmt numFmtId="167" formatCode="0.0"/>
  </numFmts>
  <fonts count="29" x14ac:knownFonts="1">
    <font>
      <sz val="10"/>
      <name val="Arial"/>
    </font>
    <font>
      <sz val="11"/>
      <name val="Arial"/>
      <family val="2"/>
    </font>
    <font>
      <sz val="8"/>
      <name val="Arial"/>
      <family val="2"/>
    </font>
    <font>
      <vertAlign val="subscript"/>
      <sz val="10"/>
      <name val="Arial"/>
      <family val="2"/>
    </font>
    <font>
      <sz val="10"/>
      <name val="Arial"/>
      <family val="2"/>
    </font>
    <font>
      <b/>
      <sz val="10"/>
      <name val="Arial"/>
      <family val="2"/>
    </font>
    <font>
      <b/>
      <sz val="10"/>
      <color indexed="12"/>
      <name val="Arial"/>
      <family val="2"/>
    </font>
    <font>
      <b/>
      <vertAlign val="subscript"/>
      <sz val="10"/>
      <name val="Arial"/>
      <family val="2"/>
    </font>
    <font>
      <b/>
      <i/>
      <sz val="10"/>
      <name val="Arial"/>
      <family val="2"/>
    </font>
    <font>
      <sz val="10"/>
      <name val="Calibri"/>
      <family val="2"/>
    </font>
    <font>
      <b/>
      <sz val="10"/>
      <name val="Calibri"/>
      <family val="2"/>
    </font>
    <font>
      <u/>
      <sz val="20"/>
      <color indexed="12"/>
      <name val="Arial"/>
      <family val="2"/>
    </font>
    <font>
      <sz val="20"/>
      <color indexed="12"/>
      <name val="Arial Black"/>
      <family val="2"/>
    </font>
    <font>
      <b/>
      <vertAlign val="subscript"/>
      <sz val="10"/>
      <name val="Calibri"/>
      <family val="2"/>
    </font>
    <font>
      <b/>
      <sz val="8"/>
      <name val="Arial"/>
      <family val="2"/>
    </font>
    <font>
      <u/>
      <sz val="10"/>
      <color indexed="12"/>
      <name val="Arial"/>
      <family val="2"/>
    </font>
    <font>
      <i/>
      <sz val="16"/>
      <color indexed="12"/>
      <name val="Arial Black"/>
      <family val="2"/>
    </font>
    <font>
      <i/>
      <sz val="9"/>
      <name val="Arial"/>
      <family val="2"/>
    </font>
    <font>
      <i/>
      <sz val="10"/>
      <name val="Arial"/>
      <family val="2"/>
    </font>
    <font>
      <sz val="9"/>
      <name val="Arial"/>
      <family val="2"/>
    </font>
    <font>
      <b/>
      <sz val="16"/>
      <color indexed="48"/>
      <name val="Arial"/>
      <family val="2"/>
    </font>
    <font>
      <i/>
      <sz val="10"/>
      <color indexed="10"/>
      <name val="Arial"/>
      <family val="2"/>
    </font>
    <font>
      <b/>
      <u/>
      <sz val="10"/>
      <name val="Arial"/>
      <family val="2"/>
    </font>
    <font>
      <sz val="10"/>
      <name val="Arial Black"/>
      <family val="2"/>
    </font>
    <font>
      <b/>
      <i/>
      <sz val="16"/>
      <color indexed="48"/>
      <name val="Arial"/>
      <family val="2"/>
    </font>
    <font>
      <sz val="10"/>
      <color rgb="FFFF0000"/>
      <name val="Arial"/>
      <family val="2"/>
    </font>
    <font>
      <sz val="20"/>
      <color rgb="FF0000FF"/>
      <name val="Arial Black"/>
      <family val="2"/>
    </font>
    <font>
      <sz val="10"/>
      <color theme="0"/>
      <name val="Arial"/>
      <family val="2"/>
    </font>
    <font>
      <b/>
      <sz val="10"/>
      <color rgb="FF0000FF"/>
      <name val="Arial"/>
      <family val="2"/>
    </font>
  </fonts>
  <fills count="7">
    <fill>
      <patternFill patternType="none"/>
    </fill>
    <fill>
      <patternFill patternType="gray125"/>
    </fill>
    <fill>
      <patternFill patternType="solid">
        <fgColor indexed="47"/>
        <bgColor indexed="64"/>
      </patternFill>
    </fill>
    <fill>
      <patternFill patternType="solid">
        <fgColor rgb="FF99CCFF"/>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bgColor indexed="64"/>
      </patternFill>
    </fill>
  </fills>
  <borders count="43">
    <border>
      <left/>
      <right/>
      <top/>
      <bottom/>
      <diagonal/>
    </border>
    <border>
      <left/>
      <right style="medium">
        <color indexed="64"/>
      </right>
      <top/>
      <bottom/>
      <diagonal/>
    </border>
    <border>
      <left style="medium">
        <color indexed="8"/>
      </left>
      <right/>
      <top style="medium">
        <color indexed="8"/>
      </top>
      <bottom/>
      <diagonal/>
    </border>
    <border>
      <left style="medium">
        <color indexed="8"/>
      </left>
      <right/>
      <top style="hair">
        <color indexed="8"/>
      </top>
      <bottom style="hair">
        <color indexed="8"/>
      </bottom>
      <diagonal/>
    </border>
    <border>
      <left style="medium">
        <color indexed="8"/>
      </left>
      <right/>
      <top/>
      <bottom/>
      <diagonal/>
    </border>
    <border>
      <left style="medium">
        <color indexed="64"/>
      </left>
      <right/>
      <top style="hair">
        <color indexed="64"/>
      </top>
      <bottom/>
      <diagonal/>
    </border>
    <border>
      <left style="medium">
        <color indexed="8"/>
      </left>
      <right/>
      <top style="hair">
        <color indexed="8"/>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style="hair">
        <color indexed="8"/>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hair">
        <color indexed="8"/>
      </top>
      <bottom style="hair">
        <color indexed="8"/>
      </bottom>
      <diagonal/>
    </border>
    <border>
      <left style="medium">
        <color indexed="64"/>
      </left>
      <right/>
      <top/>
      <bottom style="medium">
        <color indexed="64"/>
      </bottom>
      <diagonal/>
    </border>
    <border>
      <left style="medium">
        <color indexed="64"/>
      </left>
      <right style="thick">
        <color indexed="8"/>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8"/>
      </left>
      <right style="thick">
        <color indexed="8"/>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hair">
        <color indexed="64"/>
      </top>
      <bottom style="hair">
        <color indexed="64"/>
      </bottom>
      <diagonal/>
    </border>
    <border>
      <left style="medium">
        <color indexed="64"/>
      </left>
      <right/>
      <top style="hair">
        <color indexed="8"/>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4" fillId="0" borderId="0"/>
  </cellStyleXfs>
  <cellXfs count="171">
    <xf numFmtId="0" fontId="0" fillId="0" borderId="0" xfId="0"/>
    <xf numFmtId="0" fontId="0" fillId="0" borderId="1" xfId="0" applyBorder="1"/>
    <xf numFmtId="0" fontId="0" fillId="0" borderId="0" xfId="0" applyAlignment="1">
      <alignment horizontal="center"/>
    </xf>
    <xf numFmtId="0" fontId="4" fillId="0" borderId="0" xfId="0" applyFont="1" applyAlignment="1">
      <alignment vertical="center" wrapText="1"/>
    </xf>
    <xf numFmtId="0" fontId="6" fillId="0" borderId="2" xfId="0" applyFont="1" applyBorder="1"/>
    <xf numFmtId="0" fontId="4" fillId="0" borderId="3" xfId="0" applyFont="1" applyBorder="1"/>
    <xf numFmtId="0" fontId="6" fillId="0" borderId="4" xfId="0" applyFont="1" applyBorder="1"/>
    <xf numFmtId="0" fontId="5" fillId="0" borderId="3" xfId="0" applyFont="1" applyBorder="1" applyAlignment="1"/>
    <xf numFmtId="11" fontId="8" fillId="0" borderId="5" xfId="0" applyNumberFormat="1" applyFont="1" applyBorder="1" applyAlignment="1">
      <alignment horizontal="center"/>
    </xf>
    <xf numFmtId="0" fontId="5" fillId="0" borderId="6" xfId="0" applyFont="1" applyBorder="1" applyAlignment="1"/>
    <xf numFmtId="0" fontId="0" fillId="0" borderId="7" xfId="0" applyBorder="1"/>
    <xf numFmtId="0" fontId="0" fillId="0" borderId="8" xfId="0" applyBorder="1" applyAlignment="1"/>
    <xf numFmtId="0" fontId="0" fillId="0" borderId="8" xfId="0" applyBorder="1"/>
    <xf numFmtId="0" fontId="0" fillId="0" borderId="8" xfId="0" applyFill="1" applyBorder="1"/>
    <xf numFmtId="11" fontId="8" fillId="0" borderId="9" xfId="0" applyNumberFormat="1" applyFont="1" applyBorder="1" applyAlignment="1">
      <alignment horizontal="center"/>
    </xf>
    <xf numFmtId="0" fontId="0" fillId="0" borderId="10" xfId="0" applyBorder="1"/>
    <xf numFmtId="0" fontId="0" fillId="0" borderId="0" xfId="0" applyBorder="1"/>
    <xf numFmtId="0" fontId="5" fillId="0" borderId="11" xfId="0" applyFont="1" applyBorder="1" applyAlignment="1">
      <alignment horizontal="center"/>
    </xf>
    <xf numFmtId="2" fontId="0" fillId="0" borderId="11" xfId="0" applyNumberFormat="1" applyBorder="1"/>
    <xf numFmtId="166" fontId="0" fillId="0" borderId="11" xfId="0" applyNumberFormat="1" applyBorder="1"/>
    <xf numFmtId="0" fontId="5" fillId="0" borderId="12" xfId="0" applyFont="1" applyBorder="1" applyAlignment="1">
      <alignment horizontal="center"/>
    </xf>
    <xf numFmtId="2" fontId="0" fillId="0" borderId="12" xfId="0" applyNumberFormat="1" applyBorder="1"/>
    <xf numFmtId="166" fontId="0" fillId="0" borderId="13" xfId="0" applyNumberFormat="1" applyBorder="1"/>
    <xf numFmtId="2" fontId="0" fillId="0" borderId="14" xfId="0" applyNumberFormat="1" applyBorder="1"/>
    <xf numFmtId="166" fontId="0" fillId="0" borderId="15" xfId="0" applyNumberFormat="1" applyBorder="1"/>
    <xf numFmtId="166" fontId="0" fillId="0" borderId="16" xfId="0" applyNumberFormat="1" applyBorder="1"/>
    <xf numFmtId="0" fontId="5" fillId="0" borderId="13" xfId="0" applyFont="1" applyBorder="1" applyAlignment="1">
      <alignment horizontal="center"/>
    </xf>
    <xf numFmtId="0" fontId="25" fillId="0" borderId="0" xfId="0" applyFont="1" applyBorder="1"/>
    <xf numFmtId="0" fontId="26" fillId="0" borderId="0" xfId="0" applyFont="1" applyAlignment="1"/>
    <xf numFmtId="0" fontId="5" fillId="0" borderId="17" xfId="0" applyFont="1" applyBorder="1" applyAlignment="1">
      <alignment horizontal="center"/>
    </xf>
    <xf numFmtId="0" fontId="5" fillId="0" borderId="18" xfId="0" applyFont="1" applyBorder="1" applyAlignment="1">
      <alignment horizontal="center"/>
    </xf>
    <xf numFmtId="20" fontId="4" fillId="0" borderId="0" xfId="0" applyNumberFormat="1" applyFont="1" applyAlignment="1">
      <alignment vertical="center" wrapText="1"/>
    </xf>
    <xf numFmtId="0" fontId="6" fillId="0" borderId="19" xfId="0" applyFont="1" applyBorder="1"/>
    <xf numFmtId="0" fontId="4" fillId="0" borderId="20" xfId="0" applyFont="1" applyBorder="1"/>
    <xf numFmtId="0" fontId="6" fillId="0" borderId="10" xfId="0" applyFont="1" applyBorder="1"/>
    <xf numFmtId="0" fontId="5" fillId="0" borderId="20" xfId="0" applyFont="1" applyBorder="1" applyAlignment="1"/>
    <xf numFmtId="0" fontId="5" fillId="0" borderId="9" xfId="0" applyFont="1" applyBorder="1" applyAlignment="1"/>
    <xf numFmtId="0" fontId="5" fillId="0" borderId="21" xfId="0" applyFont="1" applyBorder="1" applyAlignment="1"/>
    <xf numFmtId="11" fontId="12" fillId="0" borderId="22" xfId="2" applyNumberFormat="1" applyFont="1" applyBorder="1" applyAlignment="1">
      <alignment horizontal="centerContinuous"/>
    </xf>
    <xf numFmtId="0" fontId="5" fillId="0" borderId="23" xfId="2" applyFont="1" applyBorder="1" applyAlignment="1">
      <alignment horizontal="centerContinuous"/>
    </xf>
    <xf numFmtId="0" fontId="5" fillId="0" borderId="7" xfId="2" applyFont="1" applyBorder="1" applyAlignment="1">
      <alignment horizontal="centerContinuous"/>
    </xf>
    <xf numFmtId="0" fontId="5" fillId="0" borderId="0" xfId="2" applyFont="1"/>
    <xf numFmtId="0" fontId="5" fillId="0" borderId="10" xfId="2" applyFont="1" applyBorder="1"/>
    <xf numFmtId="0" fontId="5" fillId="0" borderId="0" xfId="2" applyFont="1" applyBorder="1" applyAlignment="1"/>
    <xf numFmtId="0" fontId="5" fillId="0" borderId="0" xfId="2" applyFont="1" applyBorder="1"/>
    <xf numFmtId="0" fontId="5" fillId="0" borderId="1" xfId="2" applyFont="1" applyBorder="1"/>
    <xf numFmtId="0" fontId="5" fillId="0" borderId="10" xfId="2" applyFont="1" applyBorder="1" applyAlignment="1"/>
    <xf numFmtId="0" fontId="4" fillId="0" borderId="0" xfId="2" applyBorder="1" applyAlignment="1"/>
    <xf numFmtId="11" fontId="14" fillId="2" borderId="10" xfId="2" applyNumberFormat="1" applyFont="1" applyFill="1" applyBorder="1"/>
    <xf numFmtId="0" fontId="14" fillId="2" borderId="0" xfId="2" applyFont="1" applyFill="1" applyBorder="1" applyAlignment="1">
      <alignment horizontal="right"/>
    </xf>
    <xf numFmtId="0" fontId="2" fillId="2" borderId="0" xfId="2" applyFont="1" applyFill="1" applyBorder="1" applyAlignment="1">
      <alignment horizontal="left"/>
    </xf>
    <xf numFmtId="0" fontId="14" fillId="2" borderId="0" xfId="2" applyFont="1" applyFill="1" applyBorder="1"/>
    <xf numFmtId="0" fontId="15" fillId="2" borderId="0" xfId="1" applyFont="1" applyFill="1" applyBorder="1" applyAlignment="1" applyProtection="1">
      <alignment horizontal="centerContinuous"/>
    </xf>
    <xf numFmtId="0" fontId="15" fillId="2" borderId="1" xfId="1" applyFont="1" applyFill="1" applyBorder="1" applyAlignment="1" applyProtection="1">
      <alignment horizontal="centerContinuous"/>
    </xf>
    <xf numFmtId="14" fontId="2" fillId="2" borderId="0" xfId="2" applyNumberFormat="1" applyFont="1" applyFill="1" applyBorder="1" applyAlignment="1">
      <alignment horizontal="left"/>
    </xf>
    <xf numFmtId="0" fontId="14" fillId="2" borderId="21" xfId="2" applyFont="1" applyFill="1" applyBorder="1" applyAlignment="1">
      <alignment horizontal="centerContinuous"/>
    </xf>
    <xf numFmtId="0" fontId="4" fillId="2" borderId="24" xfId="2" applyFill="1" applyBorder="1" applyAlignment="1">
      <alignment horizontal="centerContinuous"/>
    </xf>
    <xf numFmtId="0" fontId="14" fillId="2" borderId="24" xfId="2" applyFont="1" applyFill="1" applyBorder="1" applyAlignment="1">
      <alignment horizontal="centerContinuous"/>
    </xf>
    <xf numFmtId="0" fontId="15" fillId="2" borderId="24" xfId="1" applyFont="1" applyFill="1" applyBorder="1" applyAlignment="1" applyProtection="1">
      <alignment horizontal="centerContinuous"/>
    </xf>
    <xf numFmtId="0" fontId="15" fillId="2" borderId="25" xfId="1" applyFont="1" applyFill="1" applyBorder="1" applyAlignment="1" applyProtection="1">
      <alignment horizontal="centerContinuous"/>
    </xf>
    <xf numFmtId="0" fontId="12" fillId="0" borderId="26" xfId="2" applyFont="1" applyBorder="1" applyAlignment="1">
      <alignment horizontal="centerContinuous"/>
    </xf>
    <xf numFmtId="0" fontId="4" fillId="0" borderId="27" xfId="2" applyBorder="1" applyAlignment="1">
      <alignment horizontal="centerContinuous"/>
    </xf>
    <xf numFmtId="0" fontId="4" fillId="0" borderId="28" xfId="2" applyBorder="1" applyAlignment="1">
      <alignment horizontal="centerContinuous"/>
    </xf>
    <xf numFmtId="0" fontId="4" fillId="0" borderId="0" xfId="2"/>
    <xf numFmtId="0" fontId="16" fillId="0" borderId="4" xfId="2" applyFont="1" applyBorder="1" applyAlignment="1">
      <alignment horizontal="centerContinuous"/>
    </xf>
    <xf numFmtId="0" fontId="4" fillId="0" borderId="0" xfId="2" applyBorder="1" applyAlignment="1">
      <alignment horizontal="centerContinuous"/>
    </xf>
    <xf numFmtId="0" fontId="4" fillId="0" borderId="29" xfId="2" applyBorder="1" applyAlignment="1">
      <alignment horizontal="centerContinuous"/>
    </xf>
    <xf numFmtId="0" fontId="4" fillId="0" borderId="4" xfId="2" applyBorder="1"/>
    <xf numFmtId="0" fontId="4" fillId="0" borderId="0" xfId="2" applyFont="1" applyBorder="1" applyAlignment="1">
      <alignment horizontal="left"/>
    </xf>
    <xf numFmtId="0" fontId="4" fillId="0" borderId="29" xfId="2" applyFont="1" applyBorder="1" applyAlignment="1">
      <alignment horizontal="left"/>
    </xf>
    <xf numFmtId="0" fontId="18" fillId="0" borderId="4" xfId="2" applyFont="1" applyBorder="1" applyAlignment="1">
      <alignment horizontal="left"/>
    </xf>
    <xf numFmtId="0" fontId="4" fillId="0" borderId="4" xfId="2" applyFont="1" applyBorder="1" applyAlignment="1">
      <alignment horizontal="left"/>
    </xf>
    <xf numFmtId="0" fontId="4" fillId="0" borderId="4" xfId="2" applyFont="1" applyBorder="1"/>
    <xf numFmtId="0" fontId="4" fillId="0" borderId="0" xfId="2" applyFont="1" applyBorder="1"/>
    <xf numFmtId="0" fontId="4" fillId="0" borderId="29" xfId="2" applyFont="1" applyBorder="1"/>
    <xf numFmtId="14" fontId="14" fillId="0" borderId="4" xfId="2" applyNumberFormat="1" applyFont="1" applyBorder="1"/>
    <xf numFmtId="0" fontId="1" fillId="0" borderId="0" xfId="2" applyFont="1" applyFill="1" applyBorder="1" applyAlignment="1">
      <alignment horizontal="left"/>
    </xf>
    <xf numFmtId="0" fontId="19" fillId="0" borderId="0" xfId="2" applyFont="1" applyBorder="1" applyAlignment="1">
      <alignment wrapText="1"/>
    </xf>
    <xf numFmtId="0" fontId="4" fillId="0" borderId="0" xfId="2" applyBorder="1"/>
    <xf numFmtId="0" fontId="4" fillId="0" borderId="29" xfId="2" applyBorder="1"/>
    <xf numFmtId="0" fontId="4" fillId="0" borderId="0" xfId="2" applyFont="1" applyFill="1" applyBorder="1" applyAlignment="1">
      <alignment horizontal="left"/>
    </xf>
    <xf numFmtId="0" fontId="4" fillId="0" borderId="10" xfId="2" applyBorder="1"/>
    <xf numFmtId="0" fontId="20" fillId="0" borderId="0" xfId="2" applyFont="1" applyBorder="1"/>
    <xf numFmtId="0" fontId="21" fillId="0" borderId="29" xfId="2" applyFont="1" applyBorder="1"/>
    <xf numFmtId="0" fontId="14" fillId="2" borderId="4" xfId="2" applyFont="1" applyFill="1" applyBorder="1"/>
    <xf numFmtId="0" fontId="14" fillId="2" borderId="29" xfId="2" applyFont="1" applyFill="1" applyBorder="1"/>
    <xf numFmtId="0" fontId="15" fillId="2" borderId="30" xfId="1" applyFont="1" applyFill="1" applyBorder="1" applyAlignment="1" applyProtection="1"/>
    <xf numFmtId="0" fontId="14" fillId="2" borderId="31" xfId="2" applyFont="1" applyFill="1" applyBorder="1" applyAlignment="1">
      <alignment horizontal="center"/>
    </xf>
    <xf numFmtId="0" fontId="15" fillId="2" borderId="31" xfId="1" applyFont="1" applyFill="1" applyBorder="1" applyAlignment="1" applyProtection="1"/>
    <xf numFmtId="0" fontId="15" fillId="2" borderId="32" xfId="1" applyFont="1" applyFill="1" applyBorder="1" applyAlignment="1" applyProtection="1"/>
    <xf numFmtId="0" fontId="4" fillId="0" borderId="0" xfId="2" applyBorder="1" applyAlignment="1">
      <alignment vertical="center"/>
    </xf>
    <xf numFmtId="2" fontId="0" fillId="0" borderId="15" xfId="0" applyNumberFormat="1" applyBorder="1"/>
    <xf numFmtId="0" fontId="9" fillId="0" borderId="0" xfId="0" applyFont="1"/>
    <xf numFmtId="0" fontId="5" fillId="0" borderId="33" xfId="0" applyFont="1" applyBorder="1" applyAlignment="1"/>
    <xf numFmtId="0" fontId="5" fillId="0" borderId="34" xfId="0" applyFont="1" applyBorder="1" applyAlignment="1"/>
    <xf numFmtId="11" fontId="8" fillId="0" borderId="35" xfId="0" applyNumberFormat="1" applyFont="1" applyBorder="1" applyAlignment="1">
      <alignment horizontal="center"/>
    </xf>
    <xf numFmtId="0" fontId="0" fillId="3" borderId="8" xfId="0" applyFill="1" applyBorder="1" applyProtection="1">
      <protection locked="0"/>
    </xf>
    <xf numFmtId="0" fontId="0" fillId="0" borderId="8" xfId="0" applyBorder="1" applyProtection="1"/>
    <xf numFmtId="0" fontId="4" fillId="0" borderId="1" xfId="0" applyFont="1" applyBorder="1" applyAlignment="1">
      <alignment vertical="center" wrapText="1"/>
    </xf>
    <xf numFmtId="0" fontId="2" fillId="4" borderId="10" xfId="0" applyFont="1" applyFill="1" applyBorder="1"/>
    <xf numFmtId="0" fontId="2" fillId="4" borderId="0" xfId="0" applyFont="1" applyFill="1" applyBorder="1"/>
    <xf numFmtId="0" fontId="14" fillId="4" borderId="0" xfId="0" applyFont="1" applyFill="1" applyBorder="1"/>
    <xf numFmtId="0" fontId="2" fillId="4" borderId="1" xfId="0" applyFont="1" applyFill="1" applyBorder="1"/>
    <xf numFmtId="14" fontId="2" fillId="4" borderId="0" xfId="0" applyNumberFormat="1" applyFont="1" applyFill="1" applyBorder="1" applyAlignment="1">
      <alignment horizontal="left"/>
    </xf>
    <xf numFmtId="166" fontId="5" fillId="5" borderId="8" xfId="0" applyNumberFormat="1" applyFont="1" applyFill="1" applyBorder="1"/>
    <xf numFmtId="2" fontId="5" fillId="5" borderId="8" xfId="0" applyNumberFormat="1" applyFont="1" applyFill="1" applyBorder="1"/>
    <xf numFmtId="165" fontId="5" fillId="5" borderId="8" xfId="0" applyNumberFormat="1" applyFont="1" applyFill="1" applyBorder="1"/>
    <xf numFmtId="0" fontId="5" fillId="0" borderId="8" xfId="0" applyFont="1" applyBorder="1"/>
    <xf numFmtId="2" fontId="5" fillId="5" borderId="36" xfId="0" applyNumberFormat="1" applyFont="1" applyFill="1" applyBorder="1"/>
    <xf numFmtId="2" fontId="5" fillId="5" borderId="37" xfId="0" applyNumberFormat="1" applyFont="1" applyFill="1" applyBorder="1"/>
    <xf numFmtId="11" fontId="5" fillId="5" borderId="1" xfId="0" applyNumberFormat="1" applyFont="1" applyFill="1" applyBorder="1"/>
    <xf numFmtId="11" fontId="5" fillId="5" borderId="38" xfId="0" applyNumberFormat="1" applyFont="1" applyFill="1" applyBorder="1"/>
    <xf numFmtId="0" fontId="5" fillId="5" borderId="8" xfId="0" applyFont="1" applyFill="1" applyBorder="1"/>
    <xf numFmtId="166" fontId="5" fillId="5" borderId="1" xfId="0" applyNumberFormat="1" applyFont="1" applyFill="1" applyBorder="1"/>
    <xf numFmtId="167" fontId="5" fillId="5" borderId="37" xfId="0" applyNumberFormat="1" applyFont="1" applyFill="1" applyBorder="1"/>
    <xf numFmtId="11" fontId="5" fillId="5" borderId="8" xfId="0" applyNumberFormat="1" applyFont="1" applyFill="1" applyBorder="1"/>
    <xf numFmtId="11" fontId="5" fillId="5" borderId="25" xfId="0" applyNumberFormat="1" applyFont="1" applyFill="1" applyBorder="1"/>
    <xf numFmtId="164" fontId="5" fillId="5" borderId="38" xfId="0" applyNumberFormat="1" applyFont="1" applyFill="1" applyBorder="1"/>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11" xfId="0" applyFont="1" applyBorder="1" applyAlignment="1" applyProtection="1">
      <alignment horizontal="center"/>
      <protection hidden="1"/>
    </xf>
    <xf numFmtId="2" fontId="0" fillId="0" borderId="12" xfId="0" applyNumberFormat="1" applyBorder="1" applyProtection="1">
      <protection hidden="1"/>
    </xf>
    <xf numFmtId="166" fontId="0" fillId="0" borderId="13" xfId="0" applyNumberFormat="1" applyBorder="1" applyProtection="1">
      <protection hidden="1"/>
    </xf>
    <xf numFmtId="2" fontId="0" fillId="0" borderId="11" xfId="0" applyNumberFormat="1" applyBorder="1" applyProtection="1">
      <protection hidden="1"/>
    </xf>
    <xf numFmtId="166" fontId="0" fillId="0" borderId="11" xfId="0" applyNumberFormat="1" applyBorder="1" applyProtection="1">
      <protection hidden="1"/>
    </xf>
    <xf numFmtId="2" fontId="4" fillId="0" borderId="11" xfId="0" applyNumberFormat="1" applyFont="1" applyBorder="1" applyProtection="1">
      <protection hidden="1"/>
    </xf>
    <xf numFmtId="166" fontId="0" fillId="0" borderId="16" xfId="0" applyNumberFormat="1" applyBorder="1" applyProtection="1">
      <protection hidden="1"/>
    </xf>
    <xf numFmtId="166" fontId="0" fillId="0" borderId="15" xfId="0" applyNumberFormat="1" applyBorder="1" applyProtection="1">
      <protection hidden="1"/>
    </xf>
    <xf numFmtId="0" fontId="2" fillId="4" borderId="0" xfId="0" applyFont="1" applyFill="1" applyBorder="1" applyAlignment="1">
      <alignment horizontal="left"/>
    </xf>
    <xf numFmtId="14" fontId="2" fillId="4" borderId="0" xfId="0" applyNumberFormat="1" applyFont="1" applyFill="1" applyBorder="1" applyAlignment="1">
      <alignment horizontal="left"/>
    </xf>
    <xf numFmtId="0" fontId="27" fillId="0" borderId="10" xfId="0" applyFont="1" applyBorder="1"/>
    <xf numFmtId="0" fontId="0" fillId="3" borderId="8" xfId="0" applyNumberFormat="1" applyFill="1" applyBorder="1" applyProtection="1">
      <protection locked="0"/>
    </xf>
    <xf numFmtId="2" fontId="5" fillId="6" borderId="36" xfId="0" applyNumberFormat="1" applyFont="1" applyFill="1" applyBorder="1"/>
    <xf numFmtId="0" fontId="23" fillId="0" borderId="0" xfId="0" applyFont="1" applyBorder="1" applyAlignment="1">
      <alignment horizontal="center"/>
    </xf>
    <xf numFmtId="0" fontId="24" fillId="0" borderId="0" xfId="0" applyFont="1" applyBorder="1"/>
    <xf numFmtId="0" fontId="24" fillId="0" borderId="0" xfId="0" applyFont="1" applyBorder="1" applyAlignment="1">
      <alignment horizontal="center"/>
    </xf>
    <xf numFmtId="0" fontId="0" fillId="0" borderId="19" xfId="0" applyBorder="1"/>
    <xf numFmtId="0" fontId="0" fillId="0" borderId="23" xfId="0" applyBorder="1"/>
    <xf numFmtId="0" fontId="12" fillId="0" borderId="10" xfId="0" applyFont="1" applyBorder="1" applyAlignment="1">
      <alignment horizontal="center"/>
    </xf>
    <xf numFmtId="0" fontId="23" fillId="0" borderId="1" xfId="0" applyFont="1" applyBorder="1" applyAlignment="1">
      <alignment horizontal="center"/>
    </xf>
    <xf numFmtId="0" fontId="2" fillId="4" borderId="1" xfId="0" applyFont="1" applyFill="1" applyBorder="1" applyAlignment="1">
      <alignment horizontal="left"/>
    </xf>
    <xf numFmtId="14" fontId="2" fillId="4" borderId="1" xfId="0" applyNumberFormat="1" applyFont="1" applyFill="1" applyBorder="1" applyAlignment="1">
      <alignment horizontal="left"/>
    </xf>
    <xf numFmtId="0" fontId="20" fillId="0" borderId="0" xfId="0" applyFont="1" applyBorder="1" applyAlignment="1"/>
    <xf numFmtId="0" fontId="4" fillId="0" borderId="0" xfId="0" applyFont="1" applyBorder="1"/>
    <xf numFmtId="0" fontId="4" fillId="0" borderId="0" xfId="0" applyFont="1" applyFill="1" applyBorder="1"/>
    <xf numFmtId="0" fontId="12" fillId="0" borderId="10" xfId="0" applyFont="1" applyBorder="1" applyAlignment="1">
      <alignment horizontal="center"/>
    </xf>
    <xf numFmtId="0" fontId="23" fillId="0" borderId="0" xfId="0" applyFont="1" applyBorder="1" applyAlignment="1">
      <alignment horizontal="center"/>
    </xf>
    <xf numFmtId="0" fontId="23" fillId="0" borderId="1" xfId="0" applyFont="1" applyBorder="1" applyAlignment="1">
      <alignment horizontal="center"/>
    </xf>
    <xf numFmtId="0" fontId="14" fillId="4" borderId="21" xfId="0" applyFont="1" applyFill="1" applyBorder="1" applyAlignment="1">
      <alignment horizontal="center"/>
    </xf>
    <xf numFmtId="0" fontId="14" fillId="4" borderId="24" xfId="0" applyFont="1" applyFill="1" applyBorder="1" applyAlignment="1">
      <alignment horizontal="center"/>
    </xf>
    <xf numFmtId="0" fontId="14" fillId="4" borderId="25" xfId="0" applyFont="1" applyFill="1" applyBorder="1" applyAlignment="1">
      <alignment horizontal="center"/>
    </xf>
    <xf numFmtId="0" fontId="28" fillId="0" borderId="39" xfId="0" applyFont="1" applyBorder="1" applyAlignment="1" applyProtection="1">
      <alignment horizontal="center"/>
      <protection hidden="1"/>
    </xf>
    <xf numFmtId="0" fontId="28" fillId="0" borderId="18" xfId="0" applyFont="1" applyBorder="1" applyAlignment="1" applyProtection="1">
      <alignment horizontal="center"/>
      <protection hidden="1"/>
    </xf>
    <xf numFmtId="0" fontId="28" fillId="0" borderId="40" xfId="0" applyFont="1" applyBorder="1" applyAlignment="1" applyProtection="1">
      <alignment horizontal="center"/>
      <protection hidden="1"/>
    </xf>
    <xf numFmtId="0" fontId="28" fillId="0" borderId="41" xfId="0" applyFont="1" applyBorder="1" applyAlignment="1" applyProtection="1">
      <alignment horizontal="center"/>
      <protection hidden="1"/>
    </xf>
    <xf numFmtId="0" fontId="2" fillId="4" borderId="0" xfId="0" applyFont="1" applyFill="1" applyBorder="1" applyAlignment="1">
      <alignment horizontal="left"/>
    </xf>
    <xf numFmtId="14" fontId="2" fillId="4" borderId="0" xfId="0" applyNumberFormat="1" applyFont="1" applyFill="1" applyBorder="1" applyAlignment="1">
      <alignment horizontal="left"/>
    </xf>
    <xf numFmtId="0" fontId="26" fillId="0" borderId="19" xfId="0" applyFont="1" applyBorder="1" applyAlignment="1">
      <alignment horizontal="center"/>
    </xf>
    <xf numFmtId="0" fontId="26" fillId="0" borderId="23" xfId="0" applyFont="1" applyBorder="1" applyAlignment="1">
      <alignment horizontal="center"/>
    </xf>
    <xf numFmtId="0" fontId="26" fillId="0" borderId="7" xfId="0" applyFont="1" applyBorder="1" applyAlignment="1">
      <alignment horizontal="center"/>
    </xf>
    <xf numFmtId="0" fontId="4" fillId="0" borderId="0" xfId="0" applyFont="1" applyBorder="1" applyAlignment="1">
      <alignment horizontal="left" vertical="center" wrapText="1"/>
    </xf>
    <xf numFmtId="0" fontId="28" fillId="0" borderId="42" xfId="0" applyFont="1" applyBorder="1" applyAlignment="1" applyProtection="1">
      <alignment horizontal="center"/>
      <protection hidden="1"/>
    </xf>
    <xf numFmtId="0" fontId="28" fillId="0" borderId="17" xfId="0" applyFont="1" applyBorder="1" applyAlignment="1">
      <alignment horizontal="center"/>
    </xf>
    <xf numFmtId="0" fontId="28" fillId="0" borderId="18" xfId="0" applyFont="1" applyBorder="1" applyAlignment="1">
      <alignment horizontal="center"/>
    </xf>
    <xf numFmtId="0" fontId="28" fillId="0" borderId="39" xfId="0" applyFont="1" applyBorder="1" applyAlignment="1">
      <alignment horizontal="center"/>
    </xf>
    <xf numFmtId="0" fontId="26" fillId="0" borderId="19"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7" xfId="0" applyFont="1" applyBorder="1" applyAlignment="1">
      <alignment horizontal="center" vertical="center" wrapText="1"/>
    </xf>
    <xf numFmtId="0" fontId="17" fillId="0" borderId="4" xfId="2" applyFont="1" applyBorder="1" applyAlignment="1">
      <alignment wrapText="1"/>
    </xf>
    <xf numFmtId="0" fontId="18" fillId="0" borderId="0" xfId="2" applyFont="1" applyAlignment="1">
      <alignment wrapText="1"/>
    </xf>
    <xf numFmtId="0" fontId="18" fillId="0" borderId="29" xfId="2" applyFont="1" applyBorder="1" applyAlignment="1">
      <alignment wrapText="1"/>
    </xf>
  </cellXfs>
  <cellStyles count="3">
    <cellStyle name="Lien hypertexte" xfId="1" builtinId="8"/>
    <cellStyle name="Normal" xfId="0" builtinId="0"/>
    <cellStyle name="Normal 2" xfId="2"/>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lgn="ctr" rtl="0">
              <a:defRPr lang="fr-FR" sz="1500" b="1" i="0" u="none" strike="noStrike" kern="1200" baseline="0">
                <a:solidFill>
                  <a:srgbClr val="000000"/>
                </a:solidFill>
                <a:latin typeface="Calibri"/>
                <a:ea typeface="Calibri"/>
                <a:cs typeface="Calibri"/>
              </a:defRPr>
            </a:pPr>
            <a:r>
              <a:rPr lang="fr-FR" sz="1500" b="1" i="0" u="none" strike="noStrike" kern="1200" baseline="0">
                <a:solidFill>
                  <a:srgbClr val="000000"/>
                </a:solidFill>
                <a:latin typeface="Calibri"/>
                <a:ea typeface="Calibri"/>
                <a:cs typeface="Calibri"/>
              </a:rPr>
              <a:t>Pression de contact en fonction du rayon du disque de contact</a:t>
            </a:r>
          </a:p>
        </c:rich>
      </c:tx>
      <c:overlay val="0"/>
    </c:title>
    <c:autoTitleDeleted val="0"/>
    <c:plotArea>
      <c:layout>
        <c:manualLayout>
          <c:layoutTarget val="inner"/>
          <c:xMode val="edge"/>
          <c:yMode val="edge"/>
          <c:x val="0.16291907261592301"/>
          <c:y val="0.23302414010317646"/>
          <c:w val="0.79687817147856532"/>
          <c:h val="0.63199627146250847"/>
        </c:manualLayout>
      </c:layout>
      <c:scatterChart>
        <c:scatterStyle val="lineMarker"/>
        <c:varyColors val="0"/>
        <c:ser>
          <c:idx val="0"/>
          <c:order val="0"/>
          <c:tx>
            <c:v>Pression de contact en fonction du rayon du disque de contact</c:v>
          </c:tx>
          <c:marker>
            <c:symbol val="diamond"/>
            <c:size val="3"/>
          </c:marker>
          <c:xVal>
            <c:numRef>
              <c:f>'Contact Ponctuel'!$D$103:$D$132</c:f>
              <c:numCache>
                <c:formatCode>0.000</c:formatCode>
                <c:ptCount val="30"/>
                <c:pt idx="0">
                  <c:v>0</c:v>
                </c:pt>
                <c:pt idx="1">
                  <c:v>8.3723063457140076E-2</c:v>
                </c:pt>
                <c:pt idx="2">
                  <c:v>0.16744612691428015</c:v>
                </c:pt>
                <c:pt idx="3">
                  <c:v>0.25116919037142021</c:v>
                </c:pt>
                <c:pt idx="4">
                  <c:v>0.3348922538285603</c:v>
                </c:pt>
                <c:pt idx="5">
                  <c:v>0.41861531728570039</c:v>
                </c:pt>
                <c:pt idx="6">
                  <c:v>0.50233838074284043</c:v>
                </c:pt>
                <c:pt idx="7">
                  <c:v>0.58606144419998052</c:v>
                </c:pt>
                <c:pt idx="8">
                  <c:v>0.66978450765712061</c:v>
                </c:pt>
                <c:pt idx="9">
                  <c:v>0.7535075711142607</c:v>
                </c:pt>
                <c:pt idx="10">
                  <c:v>0.83723063457140079</c:v>
                </c:pt>
                <c:pt idx="11">
                  <c:v>0.92095369802854088</c:v>
                </c:pt>
                <c:pt idx="12">
                  <c:v>1.0046767614856809</c:v>
                </c:pt>
                <c:pt idx="13">
                  <c:v>1.0883998249428208</c:v>
                </c:pt>
                <c:pt idx="14">
                  <c:v>1.1721228883999608</c:v>
                </c:pt>
                <c:pt idx="15">
                  <c:v>1.2558459518571008</c:v>
                </c:pt>
                <c:pt idx="16">
                  <c:v>1.3395690153142408</c:v>
                </c:pt>
                <c:pt idx="17">
                  <c:v>1.4232920787713808</c:v>
                </c:pt>
                <c:pt idx="18">
                  <c:v>1.5070151422285207</c:v>
                </c:pt>
                <c:pt idx="19">
                  <c:v>1.5907382056856607</c:v>
                </c:pt>
                <c:pt idx="20">
                  <c:v>1.6744612691428007</c:v>
                </c:pt>
                <c:pt idx="21">
                  <c:v>1.7581843325999407</c:v>
                </c:pt>
                <c:pt idx="22">
                  <c:v>1.8419073960570806</c:v>
                </c:pt>
                <c:pt idx="23">
                  <c:v>1.9256304595142206</c:v>
                </c:pt>
                <c:pt idx="24">
                  <c:v>2.0093535229713608</c:v>
                </c:pt>
                <c:pt idx="25">
                  <c:v>2.0930765864285008</c:v>
                </c:pt>
                <c:pt idx="26">
                  <c:v>2.1767996498856408</c:v>
                </c:pt>
                <c:pt idx="27">
                  <c:v>2.2605227133427808</c:v>
                </c:pt>
                <c:pt idx="28">
                  <c:v>2.3442457767999207</c:v>
                </c:pt>
                <c:pt idx="29">
                  <c:v>2.4279688402570621</c:v>
                </c:pt>
              </c:numCache>
            </c:numRef>
          </c:xVal>
          <c:yVal>
            <c:numRef>
              <c:f>'Contact Ponctuel'!$C$103:$C$132</c:f>
              <c:numCache>
                <c:formatCode>0.00</c:formatCode>
                <c:ptCount val="30"/>
                <c:pt idx="0">
                  <c:v>479.08207028459697</c:v>
                </c:pt>
                <c:pt idx="1">
                  <c:v>478.60046751541057</c:v>
                </c:pt>
                <c:pt idx="2">
                  <c:v>477.15274265097923</c:v>
                </c:pt>
                <c:pt idx="3">
                  <c:v>474.7300569885183</c:v>
                </c:pt>
                <c:pt idx="4">
                  <c:v>471.31737616268731</c:v>
                </c:pt>
                <c:pt idx="5">
                  <c:v>466.8929920367475</c:v>
                </c:pt>
                <c:pt idx="6">
                  <c:v>461.42780348474963</c:v>
                </c:pt>
                <c:pt idx="7">
                  <c:v>454.88429794848184</c:v>
                </c:pt>
                <c:pt idx="8">
                  <c:v>447.21514518964329</c:v>
                </c:pt>
                <c:pt idx="9">
                  <c:v>438.36126942225667</c:v>
                </c:pt>
                <c:pt idx="10">
                  <c:v>428.2491959683976</c:v>
                </c:pt>
                <c:pt idx="11">
                  <c:v>416.78735590376743</c:v>
                </c:pt>
                <c:pt idx="12">
                  <c:v>403.8608437451154</c:v>
                </c:pt>
                <c:pt idx="13">
                  <c:v>389.32379461749753</c:v>
                </c:pt>
                <c:pt idx="14">
                  <c:v>372.98794601944763</c:v>
                </c:pt>
                <c:pt idx="15">
                  <c:v>354.60478503798197</c:v>
                </c:pt>
                <c:pt idx="16">
                  <c:v>333.83626846621758</c:v>
                </c:pt>
                <c:pt idx="17">
                  <c:v>310.20365824833794</c:v>
                </c:pt>
                <c:pt idx="18">
                  <c:v>282.9903177026431</c:v>
                </c:pt>
                <c:pt idx="19">
                  <c:v>251.03443013224742</c:v>
                </c:pt>
                <c:pt idx="20">
                  <c:v>212.20415920944998</c:v>
                </c:pt>
                <c:pt idx="21">
                  <c:v>161.61831621244255</c:v>
                </c:pt>
                <c:pt idx="22">
                  <c:v>79.296342667796395</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D0C8-4FDC-853C-EA699F594E15}"/>
            </c:ext>
          </c:extLst>
        </c:ser>
        <c:dLbls>
          <c:showLegendKey val="0"/>
          <c:showVal val="0"/>
          <c:showCatName val="0"/>
          <c:showSerName val="0"/>
          <c:showPercent val="0"/>
          <c:showBubbleSize val="0"/>
        </c:dLbls>
        <c:axId val="139188096"/>
        <c:axId val="140337152"/>
      </c:scatterChart>
      <c:valAx>
        <c:axId val="139188096"/>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fr-FR"/>
                  <a:t>Distance à l'axe de symétrie [mm]</a:t>
                </a:r>
              </a:p>
            </c:rich>
          </c:tx>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0337152"/>
        <c:crosses val="autoZero"/>
        <c:crossBetween val="midCat"/>
      </c:valAx>
      <c:valAx>
        <c:axId val="140337152"/>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fr-FR"/>
                  <a:t>Pression de contact [Mpa]</a:t>
                </a:r>
              </a:p>
            </c:rich>
          </c:tx>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9188096"/>
        <c:crosses val="autoZero"/>
        <c:crossBetween val="midCat"/>
      </c:valAx>
    </c:plotArea>
    <c:legend>
      <c:legendPos val="r"/>
      <c:layout>
        <c:manualLayout>
          <c:xMode val="edge"/>
          <c:yMode val="edge"/>
          <c:x val="0.64405414199258149"/>
          <c:y val="0.24408654323614953"/>
          <c:w val="0.30541485000325375"/>
          <c:h val="0.12890544087394479"/>
        </c:manualLayout>
      </c:layout>
      <c:overlay val="0"/>
      <c:spPr>
        <a:solidFill>
          <a:schemeClr val="bg1"/>
        </a:solidFill>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fr-FR" sz="1500" b="1" i="0" u="none" strike="noStrike" kern="1200" baseline="0">
                <a:solidFill>
                  <a:srgbClr val="000000"/>
                </a:solidFill>
                <a:latin typeface="Calibri"/>
                <a:ea typeface="Calibri"/>
                <a:cs typeface="Calibri"/>
              </a:defRPr>
            </a:pPr>
            <a:r>
              <a:rPr lang="fr-FR" sz="1500" b="1" i="0" u="none" strike="noStrike" kern="1200" baseline="0">
                <a:solidFill>
                  <a:srgbClr val="000000"/>
                </a:solidFill>
                <a:latin typeface="Calibri"/>
                <a:ea typeface="Calibri"/>
                <a:cs typeface="Calibri"/>
              </a:rPr>
              <a:t>Répartition des contraintes dans le cercle de contact pour le solide n°2</a:t>
            </a:r>
          </a:p>
        </c:rich>
      </c:tx>
      <c:overlay val="0"/>
    </c:title>
    <c:autoTitleDeleted val="0"/>
    <c:plotArea>
      <c:layout>
        <c:manualLayout>
          <c:layoutTarget val="inner"/>
          <c:xMode val="edge"/>
          <c:yMode val="edge"/>
          <c:x val="0.14265651939951021"/>
          <c:y val="0.28480403585915398"/>
          <c:w val="0.78985535141440644"/>
          <c:h val="0.66017493267886973"/>
        </c:manualLayout>
      </c:layout>
      <c:scatterChart>
        <c:scatterStyle val="lineMarker"/>
        <c:varyColors val="0"/>
        <c:ser>
          <c:idx val="0"/>
          <c:order val="0"/>
          <c:tx>
            <c:v>σθ</c:v>
          </c:tx>
          <c:marker>
            <c:symbol val="diamond"/>
            <c:size val="3"/>
          </c:marker>
          <c:xVal>
            <c:numRef>
              <c:f>'Contact Ponctuel'!$D$103:$D$1142</c:f>
              <c:numCache>
                <c:formatCode>0.000</c:formatCode>
                <c:ptCount val="1040"/>
                <c:pt idx="0">
                  <c:v>0</c:v>
                </c:pt>
                <c:pt idx="1">
                  <c:v>8.3723063457140076E-2</c:v>
                </c:pt>
                <c:pt idx="2">
                  <c:v>0.16744612691428015</c:v>
                </c:pt>
                <c:pt idx="3">
                  <c:v>0.25116919037142021</c:v>
                </c:pt>
                <c:pt idx="4">
                  <c:v>0.3348922538285603</c:v>
                </c:pt>
                <c:pt idx="5">
                  <c:v>0.41861531728570039</c:v>
                </c:pt>
                <c:pt idx="6">
                  <c:v>0.50233838074284043</c:v>
                </c:pt>
                <c:pt idx="7">
                  <c:v>0.58606144419998052</c:v>
                </c:pt>
                <c:pt idx="8">
                  <c:v>0.66978450765712061</c:v>
                </c:pt>
                <c:pt idx="9">
                  <c:v>0.7535075711142607</c:v>
                </c:pt>
                <c:pt idx="10">
                  <c:v>0.83723063457140079</c:v>
                </c:pt>
                <c:pt idx="11">
                  <c:v>0.92095369802854088</c:v>
                </c:pt>
                <c:pt idx="12">
                  <c:v>1.0046767614856809</c:v>
                </c:pt>
                <c:pt idx="13">
                  <c:v>1.0883998249428208</c:v>
                </c:pt>
                <c:pt idx="14">
                  <c:v>1.1721228883999608</c:v>
                </c:pt>
                <c:pt idx="15">
                  <c:v>1.2558459518571008</c:v>
                </c:pt>
                <c:pt idx="16">
                  <c:v>1.3395690153142408</c:v>
                </c:pt>
                <c:pt idx="17">
                  <c:v>1.4232920787713808</c:v>
                </c:pt>
                <c:pt idx="18">
                  <c:v>1.5070151422285207</c:v>
                </c:pt>
                <c:pt idx="19">
                  <c:v>1.5907382056856607</c:v>
                </c:pt>
                <c:pt idx="20">
                  <c:v>1.6744612691428007</c:v>
                </c:pt>
                <c:pt idx="21">
                  <c:v>1.7581843325999407</c:v>
                </c:pt>
                <c:pt idx="22">
                  <c:v>1.8419073960570806</c:v>
                </c:pt>
                <c:pt idx="23">
                  <c:v>1.9256304595142206</c:v>
                </c:pt>
                <c:pt idx="24">
                  <c:v>2.0093535229713608</c:v>
                </c:pt>
                <c:pt idx="25">
                  <c:v>2.0930765864285008</c:v>
                </c:pt>
                <c:pt idx="26">
                  <c:v>2.1767996498856408</c:v>
                </c:pt>
                <c:pt idx="27">
                  <c:v>2.2605227133427808</c:v>
                </c:pt>
                <c:pt idx="28">
                  <c:v>2.3442457767999207</c:v>
                </c:pt>
                <c:pt idx="29">
                  <c:v>2.4279688402570621</c:v>
                </c:pt>
              </c:numCache>
            </c:numRef>
          </c:xVal>
          <c:yVal>
            <c:numRef>
              <c:f>'Contact Ponctuel'!$G$103:$G$132</c:f>
              <c:numCache>
                <c:formatCode>0.00</c:formatCode>
                <c:ptCount val="30"/>
                <c:pt idx="0">
                  <c:v>-383.2656562276776</c:v>
                </c:pt>
                <c:pt idx="1">
                  <c:v>-382.92854236224866</c:v>
                </c:pt>
                <c:pt idx="2">
                  <c:v>-381.91525663976211</c:v>
                </c:pt>
                <c:pt idx="3">
                  <c:v>-380.21990882644428</c:v>
                </c:pt>
                <c:pt idx="4">
                  <c:v>-377.8324849084857</c:v>
                </c:pt>
                <c:pt idx="5">
                  <c:v>-374.73853674471189</c:v>
                </c:pt>
                <c:pt idx="6">
                  <c:v>-370.918715714965</c:v>
                </c:pt>
                <c:pt idx="7">
                  <c:v>-366.34811328229051</c:v>
                </c:pt>
                <c:pt idx="8">
                  <c:v>-360.99535204052148</c:v>
                </c:pt>
                <c:pt idx="9">
                  <c:v>-354.8213421646559</c:v>
                </c:pt>
                <c:pt idx="10">
                  <c:v>-347.77757392706053</c:v>
                </c:pt>
                <c:pt idx="11">
                  <c:v>-339.80374593213378</c:v>
                </c:pt>
                <c:pt idx="12">
                  <c:v>-330.82441028690886</c:v>
                </c:pt>
                <c:pt idx="13">
                  <c:v>-320.74410990740267</c:v>
                </c:pt>
                <c:pt idx="14">
                  <c:v>-309.44010720289043</c:v>
                </c:pt>
                <c:pt idx="15">
                  <c:v>-296.75107751960127</c:v>
                </c:pt>
                <c:pt idx="16">
                  <c:v>-282.45864055411465</c:v>
                </c:pt>
                <c:pt idx="17">
                  <c:v>-266.25522887475222</c:v>
                </c:pt>
                <c:pt idx="18">
                  <c:v>-247.6833333110159</c:v>
                </c:pt>
                <c:pt idx="19">
                  <c:v>-226.0066198986448</c:v>
                </c:pt>
                <c:pt idx="20">
                  <c:v>-199.88548070117039</c:v>
                </c:pt>
                <c:pt idx="21">
                  <c:v>-166.28441708498693</c:v>
                </c:pt>
                <c:pt idx="22">
                  <c:v>-112.95688418223524</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291F-465A-9754-618A0FBC9BAD}"/>
            </c:ext>
          </c:extLst>
        </c:ser>
        <c:ser>
          <c:idx val="1"/>
          <c:order val="1"/>
          <c:tx>
            <c:v>σr</c:v>
          </c:tx>
          <c:marker>
            <c:symbol val="square"/>
            <c:size val="3"/>
          </c:marker>
          <c:xVal>
            <c:numRef>
              <c:f>'Contact Ponctuel'!$D$103:$D$132</c:f>
              <c:numCache>
                <c:formatCode>0.000</c:formatCode>
                <c:ptCount val="30"/>
                <c:pt idx="0">
                  <c:v>0</c:v>
                </c:pt>
                <c:pt idx="1">
                  <c:v>8.3723063457140076E-2</c:v>
                </c:pt>
                <c:pt idx="2">
                  <c:v>0.16744612691428015</c:v>
                </c:pt>
                <c:pt idx="3">
                  <c:v>0.25116919037142021</c:v>
                </c:pt>
                <c:pt idx="4">
                  <c:v>0.3348922538285603</c:v>
                </c:pt>
                <c:pt idx="5">
                  <c:v>0.41861531728570039</c:v>
                </c:pt>
                <c:pt idx="6">
                  <c:v>0.50233838074284043</c:v>
                </c:pt>
                <c:pt idx="7">
                  <c:v>0.58606144419998052</c:v>
                </c:pt>
                <c:pt idx="8">
                  <c:v>0.66978450765712061</c:v>
                </c:pt>
                <c:pt idx="9">
                  <c:v>0.7535075711142607</c:v>
                </c:pt>
                <c:pt idx="10">
                  <c:v>0.83723063457140079</c:v>
                </c:pt>
                <c:pt idx="11">
                  <c:v>0.92095369802854088</c:v>
                </c:pt>
                <c:pt idx="12">
                  <c:v>1.0046767614856809</c:v>
                </c:pt>
                <c:pt idx="13">
                  <c:v>1.0883998249428208</c:v>
                </c:pt>
                <c:pt idx="14">
                  <c:v>1.1721228883999608</c:v>
                </c:pt>
                <c:pt idx="15">
                  <c:v>1.2558459518571008</c:v>
                </c:pt>
                <c:pt idx="16">
                  <c:v>1.3395690153142408</c:v>
                </c:pt>
                <c:pt idx="17">
                  <c:v>1.4232920787713808</c:v>
                </c:pt>
                <c:pt idx="18">
                  <c:v>1.5070151422285207</c:v>
                </c:pt>
                <c:pt idx="19">
                  <c:v>1.5907382056856607</c:v>
                </c:pt>
                <c:pt idx="20">
                  <c:v>1.6744612691428007</c:v>
                </c:pt>
                <c:pt idx="21">
                  <c:v>1.7581843325999407</c:v>
                </c:pt>
                <c:pt idx="22">
                  <c:v>1.8419073960570806</c:v>
                </c:pt>
                <c:pt idx="23">
                  <c:v>1.9256304595142206</c:v>
                </c:pt>
                <c:pt idx="24">
                  <c:v>2.0093535229713608</c:v>
                </c:pt>
                <c:pt idx="25">
                  <c:v>2.0930765864285008</c:v>
                </c:pt>
                <c:pt idx="26">
                  <c:v>2.1767996498856408</c:v>
                </c:pt>
                <c:pt idx="27">
                  <c:v>2.2605227133427808</c:v>
                </c:pt>
                <c:pt idx="28">
                  <c:v>2.3442457767999207</c:v>
                </c:pt>
                <c:pt idx="29">
                  <c:v>2.4279688402570621</c:v>
                </c:pt>
              </c:numCache>
            </c:numRef>
          </c:xVal>
          <c:yVal>
            <c:numRef>
              <c:f>'Contact Ponctuel'!$E$103:$E$132</c:f>
              <c:numCache>
                <c:formatCode>0.00</c:formatCode>
                <c:ptCount val="30"/>
                <c:pt idx="0">
                  <c:v>-383.2656562276776</c:v>
                </c:pt>
                <c:pt idx="1">
                  <c:v>-382.83220566240828</c:v>
                </c:pt>
                <c:pt idx="2">
                  <c:v>-381.52913160180464</c:v>
                </c:pt>
                <c:pt idx="3">
                  <c:v>-379.34818235518497</c:v>
                </c:pt>
                <c:pt idx="4">
                  <c:v>-376.27531695181403</c:v>
                </c:pt>
                <c:pt idx="5">
                  <c:v>-372.29025051408405</c:v>
                </c:pt>
                <c:pt idx="6">
                  <c:v>-367.36576986063449</c:v>
                </c:pt>
                <c:pt idx="7">
                  <c:v>-361.46676343528037</c:v>
                </c:pt>
                <c:pt idx="8">
                  <c:v>-354.54888026290774</c:v>
                </c:pt>
                <c:pt idx="9">
                  <c:v>-346.55668891095473</c:v>
                </c:pt>
                <c:pt idx="10">
                  <c:v>-337.42113962237556</c:v>
                </c:pt>
                <c:pt idx="11">
                  <c:v>-327.0560235138941</c:v>
                </c:pt>
                <c:pt idx="12">
                  <c:v>-315.35293970527579</c:v>
                </c:pt>
                <c:pt idx="13">
                  <c:v>-302.17396148059328</c:v>
                </c:pt>
                <c:pt idx="14">
                  <c:v>-287.34060642822578</c:v>
                </c:pt>
                <c:pt idx="15">
                  <c:v>-270.61657854116993</c:v>
                </c:pt>
                <c:pt idx="16">
                  <c:v>-251.67938899183349</c:v>
                </c:pt>
                <c:pt idx="17">
                  <c:v>-230.07062432258849</c:v>
                </c:pt>
                <c:pt idx="18">
                  <c:v>-205.10117501321304</c:v>
                </c:pt>
                <c:pt idx="19">
                  <c:v>-175.64846831295105</c:v>
                </c:pt>
                <c:pt idx="20">
                  <c:v>-139.6411740339496</c:v>
                </c:pt>
                <c:pt idx="21">
                  <c:v>-92.304888854921174</c:v>
                </c:pt>
                <c:pt idx="22">
                  <c:v>-13.917264086239003</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1-291F-465A-9754-618A0FBC9BAD}"/>
            </c:ext>
          </c:extLst>
        </c:ser>
        <c:ser>
          <c:idx val="2"/>
          <c:order val="2"/>
          <c:tx>
            <c:v>σz</c:v>
          </c:tx>
          <c:marker>
            <c:symbol val="triangle"/>
            <c:size val="3"/>
          </c:marker>
          <c:xVal>
            <c:numRef>
              <c:f>'Contact Ponctuel'!$D$103:$D$132</c:f>
              <c:numCache>
                <c:formatCode>0.000</c:formatCode>
                <c:ptCount val="30"/>
                <c:pt idx="0">
                  <c:v>0</c:v>
                </c:pt>
                <c:pt idx="1">
                  <c:v>8.3723063457140076E-2</c:v>
                </c:pt>
                <c:pt idx="2">
                  <c:v>0.16744612691428015</c:v>
                </c:pt>
                <c:pt idx="3">
                  <c:v>0.25116919037142021</c:v>
                </c:pt>
                <c:pt idx="4">
                  <c:v>0.3348922538285603</c:v>
                </c:pt>
                <c:pt idx="5">
                  <c:v>0.41861531728570039</c:v>
                </c:pt>
                <c:pt idx="6">
                  <c:v>0.50233838074284043</c:v>
                </c:pt>
                <c:pt idx="7">
                  <c:v>0.58606144419998052</c:v>
                </c:pt>
                <c:pt idx="8">
                  <c:v>0.66978450765712061</c:v>
                </c:pt>
                <c:pt idx="9">
                  <c:v>0.7535075711142607</c:v>
                </c:pt>
                <c:pt idx="10">
                  <c:v>0.83723063457140079</c:v>
                </c:pt>
                <c:pt idx="11">
                  <c:v>0.92095369802854088</c:v>
                </c:pt>
                <c:pt idx="12">
                  <c:v>1.0046767614856809</c:v>
                </c:pt>
                <c:pt idx="13">
                  <c:v>1.0883998249428208</c:v>
                </c:pt>
                <c:pt idx="14">
                  <c:v>1.1721228883999608</c:v>
                </c:pt>
                <c:pt idx="15">
                  <c:v>1.2558459518571008</c:v>
                </c:pt>
                <c:pt idx="16">
                  <c:v>1.3395690153142408</c:v>
                </c:pt>
                <c:pt idx="17">
                  <c:v>1.4232920787713808</c:v>
                </c:pt>
                <c:pt idx="18">
                  <c:v>1.5070151422285207</c:v>
                </c:pt>
                <c:pt idx="19">
                  <c:v>1.5907382056856607</c:v>
                </c:pt>
                <c:pt idx="20">
                  <c:v>1.6744612691428007</c:v>
                </c:pt>
                <c:pt idx="21">
                  <c:v>1.7581843325999407</c:v>
                </c:pt>
                <c:pt idx="22">
                  <c:v>1.8419073960570806</c:v>
                </c:pt>
                <c:pt idx="23">
                  <c:v>1.9256304595142206</c:v>
                </c:pt>
                <c:pt idx="24">
                  <c:v>2.0093535229713608</c:v>
                </c:pt>
                <c:pt idx="25">
                  <c:v>2.0930765864285008</c:v>
                </c:pt>
                <c:pt idx="26">
                  <c:v>2.1767996498856408</c:v>
                </c:pt>
                <c:pt idx="27">
                  <c:v>2.2605227133427808</c:v>
                </c:pt>
                <c:pt idx="28">
                  <c:v>2.3442457767999207</c:v>
                </c:pt>
                <c:pt idx="29">
                  <c:v>2.4279688402570621</c:v>
                </c:pt>
              </c:numCache>
            </c:numRef>
          </c:xVal>
          <c:yVal>
            <c:numRef>
              <c:f>'Contact Ponctuel'!$I$103:$I$132</c:f>
              <c:numCache>
                <c:formatCode>0.00</c:formatCode>
                <c:ptCount val="30"/>
                <c:pt idx="0">
                  <c:v>-479.08207028459697</c:v>
                </c:pt>
                <c:pt idx="1">
                  <c:v>-478.60046751541057</c:v>
                </c:pt>
                <c:pt idx="2">
                  <c:v>-477.15274265097923</c:v>
                </c:pt>
                <c:pt idx="3">
                  <c:v>-474.7300569885183</c:v>
                </c:pt>
                <c:pt idx="4">
                  <c:v>-471.31737616268731</c:v>
                </c:pt>
                <c:pt idx="5">
                  <c:v>-466.8929920367475</c:v>
                </c:pt>
                <c:pt idx="6">
                  <c:v>-461.42780348474963</c:v>
                </c:pt>
                <c:pt idx="7">
                  <c:v>-454.88429794848184</c:v>
                </c:pt>
                <c:pt idx="8">
                  <c:v>-447.21514518964329</c:v>
                </c:pt>
                <c:pt idx="9">
                  <c:v>-438.36126942225667</c:v>
                </c:pt>
                <c:pt idx="10">
                  <c:v>-428.2491959683976</c:v>
                </c:pt>
                <c:pt idx="11">
                  <c:v>-416.78735590376743</c:v>
                </c:pt>
                <c:pt idx="12">
                  <c:v>-403.8608437451154</c:v>
                </c:pt>
                <c:pt idx="13">
                  <c:v>-389.32379461749753</c:v>
                </c:pt>
                <c:pt idx="14">
                  <c:v>-372.98794601944763</c:v>
                </c:pt>
                <c:pt idx="15">
                  <c:v>-354.60478503798197</c:v>
                </c:pt>
                <c:pt idx="16">
                  <c:v>-333.83626846621758</c:v>
                </c:pt>
                <c:pt idx="17">
                  <c:v>-310.20365824833794</c:v>
                </c:pt>
                <c:pt idx="18">
                  <c:v>-282.9903177026431</c:v>
                </c:pt>
                <c:pt idx="19">
                  <c:v>-251.03443013224742</c:v>
                </c:pt>
                <c:pt idx="20">
                  <c:v>-212.20415920944998</c:v>
                </c:pt>
                <c:pt idx="21">
                  <c:v>-161.61831621244255</c:v>
                </c:pt>
                <c:pt idx="22">
                  <c:v>-79.296342667796395</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2-291F-465A-9754-618A0FBC9BAD}"/>
            </c:ext>
          </c:extLst>
        </c:ser>
        <c:ser>
          <c:idx val="3"/>
          <c:order val="3"/>
          <c:tx>
            <c:v>τ</c:v>
          </c:tx>
          <c:marker>
            <c:symbol val="x"/>
            <c:size val="3"/>
          </c:marker>
          <c:xVal>
            <c:numRef>
              <c:f>'Contact Ponctuel'!$D$103:$D$132</c:f>
              <c:numCache>
                <c:formatCode>0.000</c:formatCode>
                <c:ptCount val="30"/>
                <c:pt idx="0">
                  <c:v>0</c:v>
                </c:pt>
                <c:pt idx="1">
                  <c:v>8.3723063457140076E-2</c:v>
                </c:pt>
                <c:pt idx="2">
                  <c:v>0.16744612691428015</c:v>
                </c:pt>
                <c:pt idx="3">
                  <c:v>0.25116919037142021</c:v>
                </c:pt>
                <c:pt idx="4">
                  <c:v>0.3348922538285603</c:v>
                </c:pt>
                <c:pt idx="5">
                  <c:v>0.41861531728570039</c:v>
                </c:pt>
                <c:pt idx="6">
                  <c:v>0.50233838074284043</c:v>
                </c:pt>
                <c:pt idx="7">
                  <c:v>0.58606144419998052</c:v>
                </c:pt>
                <c:pt idx="8">
                  <c:v>0.66978450765712061</c:v>
                </c:pt>
                <c:pt idx="9">
                  <c:v>0.7535075711142607</c:v>
                </c:pt>
                <c:pt idx="10">
                  <c:v>0.83723063457140079</c:v>
                </c:pt>
                <c:pt idx="11">
                  <c:v>0.92095369802854088</c:v>
                </c:pt>
                <c:pt idx="12">
                  <c:v>1.0046767614856809</c:v>
                </c:pt>
                <c:pt idx="13">
                  <c:v>1.0883998249428208</c:v>
                </c:pt>
                <c:pt idx="14">
                  <c:v>1.1721228883999608</c:v>
                </c:pt>
                <c:pt idx="15">
                  <c:v>1.2558459518571008</c:v>
                </c:pt>
                <c:pt idx="16">
                  <c:v>1.3395690153142408</c:v>
                </c:pt>
                <c:pt idx="17">
                  <c:v>1.4232920787713808</c:v>
                </c:pt>
                <c:pt idx="18">
                  <c:v>1.5070151422285207</c:v>
                </c:pt>
                <c:pt idx="19">
                  <c:v>1.5907382056856607</c:v>
                </c:pt>
                <c:pt idx="20">
                  <c:v>1.6744612691428007</c:v>
                </c:pt>
                <c:pt idx="21">
                  <c:v>1.7581843325999407</c:v>
                </c:pt>
                <c:pt idx="22">
                  <c:v>1.8419073960570806</c:v>
                </c:pt>
                <c:pt idx="23">
                  <c:v>1.9256304595142206</c:v>
                </c:pt>
                <c:pt idx="24">
                  <c:v>2.0093535229713608</c:v>
                </c:pt>
                <c:pt idx="25">
                  <c:v>2.0930765864285008</c:v>
                </c:pt>
                <c:pt idx="26">
                  <c:v>2.1767996498856408</c:v>
                </c:pt>
                <c:pt idx="27">
                  <c:v>2.2605227133427808</c:v>
                </c:pt>
                <c:pt idx="28">
                  <c:v>2.3442457767999207</c:v>
                </c:pt>
                <c:pt idx="29">
                  <c:v>2.4279688402570621</c:v>
                </c:pt>
              </c:numCache>
            </c:numRef>
          </c:xVal>
          <c:yVal>
            <c:numRef>
              <c:f>'Contact Ponctuel'!$K$103:$K$132</c:f>
              <c:numCache>
                <c:formatCode>0.00</c:formatCode>
                <c:ptCount val="30"/>
                <c:pt idx="0">
                  <c:v>-47.908207028459685</c:v>
                </c:pt>
                <c:pt idx="1">
                  <c:v>-47.884130926501143</c:v>
                </c:pt>
                <c:pt idx="2">
                  <c:v>-47.811805524587299</c:v>
                </c:pt>
                <c:pt idx="3">
                  <c:v>-47.690937316666663</c:v>
                </c:pt>
                <c:pt idx="4">
                  <c:v>-47.521029605436638</c:v>
                </c:pt>
                <c:pt idx="5">
                  <c:v>-47.301370761331725</c:v>
                </c:pt>
                <c:pt idx="6">
                  <c:v>-47.031016812057572</c:v>
                </c:pt>
                <c:pt idx="7">
                  <c:v>-46.708767256600737</c:v>
                </c:pt>
                <c:pt idx="8">
                  <c:v>-46.333132463367775</c:v>
                </c:pt>
                <c:pt idx="9">
                  <c:v>-45.902290255650968</c:v>
                </c:pt>
                <c:pt idx="10">
                  <c:v>-45.414028173011019</c:v>
                </c:pt>
                <c:pt idx="11">
                  <c:v>-44.865666194936665</c:v>
                </c:pt>
                <c:pt idx="12">
                  <c:v>-44.253952019919808</c:v>
                </c:pt>
                <c:pt idx="13">
                  <c:v>-43.574916568452124</c:v>
                </c:pt>
                <c:pt idx="14">
                  <c:v>-42.823669795610925</c:v>
                </c:pt>
                <c:pt idx="15">
                  <c:v>-41.99410324840602</c:v>
                </c:pt>
                <c:pt idx="16">
                  <c:v>-41.078439737192042</c:v>
                </c:pt>
                <c:pt idx="17">
                  <c:v>-40.066516962874729</c:v>
                </c:pt>
                <c:pt idx="18">
                  <c:v>-38.94457134471503</c:v>
                </c:pt>
                <c:pt idx="19">
                  <c:v>-37.692980909648185</c:v>
                </c:pt>
                <c:pt idx="20">
                  <c:v>-36.281492587750193</c:v>
                </c:pt>
                <c:pt idx="21">
                  <c:v>-34.656713678760688</c:v>
                </c:pt>
                <c:pt idx="22">
                  <c:v>-32.689539290778697</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3-291F-465A-9754-618A0FBC9BAD}"/>
            </c:ext>
          </c:extLst>
        </c:ser>
        <c:dLbls>
          <c:showLegendKey val="0"/>
          <c:showVal val="0"/>
          <c:showCatName val="0"/>
          <c:showSerName val="0"/>
          <c:showPercent val="0"/>
          <c:showBubbleSize val="0"/>
        </c:dLbls>
        <c:axId val="140511872"/>
        <c:axId val="140522240"/>
      </c:scatterChart>
      <c:valAx>
        <c:axId val="14051187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fr-FR"/>
                  <a:t>rayon du cercle de contact [mm]</a:t>
                </a:r>
              </a:p>
            </c:rich>
          </c:tx>
          <c:layout>
            <c:manualLayout>
              <c:xMode val="edge"/>
              <c:yMode val="edge"/>
              <c:x val="0.3319564238570597"/>
              <c:y val="0.1667071616047994"/>
            </c:manualLayout>
          </c:layout>
          <c:overlay val="0"/>
        </c:title>
        <c:numFmt formatCode="#,##0.0" sourceLinked="0"/>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fr-FR"/>
          </a:p>
        </c:txPr>
        <c:crossAx val="140522240"/>
        <c:crosses val="autoZero"/>
        <c:crossBetween val="midCat"/>
      </c:valAx>
      <c:valAx>
        <c:axId val="140522240"/>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el-GR"/>
                  <a:t>σ [</a:t>
                </a:r>
                <a:r>
                  <a:rPr lang="fr-FR"/>
                  <a:t>MPa]</a:t>
                </a:r>
              </a:p>
            </c:rich>
          </c:tx>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0511872"/>
        <c:crosses val="autoZero"/>
        <c:crossBetween val="midCat"/>
      </c:valAx>
    </c:plotArea>
    <c:legend>
      <c:legendPos val="r"/>
      <c:layout>
        <c:manualLayout>
          <c:xMode val="edge"/>
          <c:yMode val="edge"/>
          <c:x val="0.78526471847922774"/>
          <c:y val="0.65268186931179062"/>
          <c:w val="0.15039414006303609"/>
          <c:h val="0.22221713194941539"/>
        </c:manualLayout>
      </c:layout>
      <c:overlay val="0"/>
      <c:spPr>
        <a:solidFill>
          <a:schemeClr val="bg1"/>
        </a:solidFill>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500" b="1" i="0" u="none" strike="noStrike" baseline="0">
                <a:solidFill>
                  <a:srgbClr val="000000"/>
                </a:solidFill>
                <a:latin typeface="Calibri"/>
              </a:rPr>
              <a:t>Répartition des contraintes dans le solide n</a:t>
            </a:r>
            <a:r>
              <a:rPr lang="fr-FR" sz="1500" b="1" i="0" u="none" strike="noStrike" baseline="0">
                <a:solidFill>
                  <a:srgbClr val="000000"/>
                </a:solidFill>
                <a:latin typeface="+mn-ea"/>
                <a:ea typeface="+mn-ea"/>
                <a:cs typeface="+mn-ea"/>
              </a:rPr>
              <a:t>°</a:t>
            </a:r>
            <a:r>
              <a:rPr lang="fr-FR" sz="1500" b="1" i="0" u="none" strike="noStrike" baseline="0">
                <a:solidFill>
                  <a:srgbClr val="000000"/>
                </a:solidFill>
                <a:latin typeface="Calibri"/>
                <a:ea typeface="+mn-ea"/>
                <a:cs typeface="+mn-ea"/>
              </a:rPr>
              <a:t>2</a:t>
            </a:r>
            <a:endParaRPr lang="fr-FR" sz="1500" b="1" i="0" u="none" strike="noStrike" baseline="0">
              <a:solidFill>
                <a:srgbClr val="000000"/>
              </a:solidFill>
              <a:latin typeface="Calibri"/>
            </a:endParaRPr>
          </a:p>
        </c:rich>
      </c:tx>
      <c:overlay val="0"/>
    </c:title>
    <c:autoTitleDeleted val="0"/>
    <c:plotArea>
      <c:layout>
        <c:manualLayout>
          <c:layoutTarget val="inner"/>
          <c:xMode val="edge"/>
          <c:yMode val="edge"/>
          <c:x val="0.15733573928258968"/>
          <c:y val="0.23427310047782487"/>
          <c:w val="0.80136570428696408"/>
          <c:h val="0.73849357291876971"/>
        </c:manualLayout>
      </c:layout>
      <c:scatterChart>
        <c:scatterStyle val="lineMarker"/>
        <c:varyColors val="0"/>
        <c:ser>
          <c:idx val="0"/>
          <c:order val="0"/>
          <c:tx>
            <c:v>σr/Pmax</c:v>
          </c:tx>
          <c:marker>
            <c:symbol val="diamond"/>
            <c:size val="4"/>
          </c:marker>
          <c:xVal>
            <c:numRef>
              <c:f>'Contact Ponctuel'!$N$103:$N$132</c:f>
              <c:numCache>
                <c:formatCode>0.00</c:formatCode>
                <c:ptCount val="30"/>
                <c:pt idx="0">
                  <c:v>0.8</c:v>
                </c:pt>
                <c:pt idx="1">
                  <c:v>0.50062737842899963</c:v>
                </c:pt>
                <c:pt idx="2">
                  <c:v>0.29783912934772799</c:v>
                </c:pt>
                <c:pt idx="3">
                  <c:v>0.17028321208242214</c:v>
                </c:pt>
                <c:pt idx="4">
                  <c:v>9.4152705299884676E-2</c:v>
                </c:pt>
                <c:pt idx="5">
                  <c:v>5.0114763506515725E-2</c:v>
                </c:pt>
                <c:pt idx="6">
                  <c:v>2.503853175546647E-2</c:v>
                </c:pt>
                <c:pt idx="7">
                  <c:v>1.086581275495796E-2</c:v>
                </c:pt>
                <c:pt idx="8">
                  <c:v>2.9060523252612824E-3</c:v>
                </c:pt>
                <c:pt idx="9">
                  <c:v>-1.5097919068783328E-3</c:v>
                </c:pt>
                <c:pt idx="10">
                  <c:v>-3.8931615212813853E-3</c:v>
                </c:pt>
                <c:pt idx="11">
                  <c:v>-5.1042693907142195E-3</c:v>
                </c:pt>
                <c:pt idx="12">
                  <c:v>-5.6374852939241188E-3</c:v>
                </c:pt>
                <c:pt idx="13">
                  <c:v>-5.7801306220569698E-3</c:v>
                </c:pt>
                <c:pt idx="14">
                  <c:v>-5.7009610819423601E-3</c:v>
                </c:pt>
                <c:pt idx="15">
                  <c:v>-5.4999174050424926E-3</c:v>
                </c:pt>
                <c:pt idx="16">
                  <c:v>-5.2364597362497753E-3</c:v>
                </c:pt>
                <c:pt idx="17">
                  <c:v>-4.9459390610449919E-3</c:v>
                </c:pt>
                <c:pt idx="18">
                  <c:v>-4.6491959513085893E-3</c:v>
                </c:pt>
                <c:pt idx="19">
                  <c:v>-4.3582678388916635E-3</c:v>
                </c:pt>
                <c:pt idx="20">
                  <c:v>-4.0798263335384555E-3</c:v>
                </c:pt>
                <c:pt idx="21">
                  <c:v>-3.817270872370257E-3</c:v>
                </c:pt>
                <c:pt idx="22">
                  <c:v>-3.5720159304602414E-3</c:v>
                </c:pt>
                <c:pt idx="23">
                  <c:v>-3.3442880417316433E-3</c:v>
                </c:pt>
                <c:pt idx="24">
                  <c:v>-3.1336214580983852E-3</c:v>
                </c:pt>
                <c:pt idx="25">
                  <c:v>-2.9391667042305558E-3</c:v>
                </c:pt>
                <c:pt idx="26">
                  <c:v>-2.7598820173976545E-3</c:v>
                </c:pt>
                <c:pt idx="27">
                  <c:v>-2.5946510247558605E-3</c:v>
                </c:pt>
                <c:pt idx="28">
                  <c:v>-2.4423537778329799E-3</c:v>
                </c:pt>
                <c:pt idx="29">
                  <c:v>-2.3019082549942706E-3</c:v>
                </c:pt>
              </c:numCache>
            </c:numRef>
          </c:xVal>
          <c:yVal>
            <c:numRef>
              <c:f>'Contact Ponctuel'!$V$103:$V$132</c:f>
              <c:numCache>
                <c:formatCode>0.000</c:formatCode>
                <c:ptCount val="30"/>
                <c:pt idx="0">
                  <c:v>0</c:v>
                </c:pt>
                <c:pt idx="1">
                  <c:v>-0.17241379310344826</c:v>
                </c:pt>
                <c:pt idx="2">
                  <c:v>-0.34482758620689652</c:v>
                </c:pt>
                <c:pt idx="3">
                  <c:v>-0.51724137931034486</c:v>
                </c:pt>
                <c:pt idx="4">
                  <c:v>-0.68965517241379304</c:v>
                </c:pt>
                <c:pt idx="5">
                  <c:v>-0.86206896551724133</c:v>
                </c:pt>
                <c:pt idx="6">
                  <c:v>-1.0344827586206897</c:v>
                </c:pt>
                <c:pt idx="7">
                  <c:v>-1.2068965517241379</c:v>
                </c:pt>
                <c:pt idx="8">
                  <c:v>-1.3793103448275861</c:v>
                </c:pt>
                <c:pt idx="9">
                  <c:v>-1.5517241379310345</c:v>
                </c:pt>
                <c:pt idx="10">
                  <c:v>-1.7241379310344827</c:v>
                </c:pt>
                <c:pt idx="11">
                  <c:v>-1.896551724137931</c:v>
                </c:pt>
                <c:pt idx="12">
                  <c:v>-2.0689655172413794</c:v>
                </c:pt>
                <c:pt idx="13">
                  <c:v>-2.2413793103448274</c:v>
                </c:pt>
                <c:pt idx="14">
                  <c:v>-2.4137931034482754</c:v>
                </c:pt>
                <c:pt idx="15">
                  <c:v>-2.5862068965517233</c:v>
                </c:pt>
                <c:pt idx="16">
                  <c:v>-2.7586206896551713</c:v>
                </c:pt>
                <c:pt idx="17">
                  <c:v>-2.9310344827586192</c:v>
                </c:pt>
                <c:pt idx="18">
                  <c:v>-3.1034482758620676</c:v>
                </c:pt>
                <c:pt idx="19">
                  <c:v>-3.2758620689655156</c:v>
                </c:pt>
                <c:pt idx="20">
                  <c:v>-3.4482758620689635</c:v>
                </c:pt>
                <c:pt idx="21">
                  <c:v>-3.6206896551724115</c:v>
                </c:pt>
                <c:pt idx="22">
                  <c:v>-3.7931034482758594</c:v>
                </c:pt>
                <c:pt idx="23">
                  <c:v>-3.9655172413793078</c:v>
                </c:pt>
                <c:pt idx="24">
                  <c:v>-4.1379310344827553</c:v>
                </c:pt>
                <c:pt idx="25">
                  <c:v>-4.3103448275862037</c:v>
                </c:pt>
                <c:pt idx="26">
                  <c:v>-4.4827586206896521</c:v>
                </c:pt>
                <c:pt idx="27">
                  <c:v>-4.6551724137930997</c:v>
                </c:pt>
                <c:pt idx="28">
                  <c:v>-4.827586206896548</c:v>
                </c:pt>
                <c:pt idx="29">
                  <c:v>-5</c:v>
                </c:pt>
              </c:numCache>
            </c:numRef>
          </c:yVal>
          <c:smooth val="0"/>
          <c:extLst>
            <c:ext xmlns:c16="http://schemas.microsoft.com/office/drawing/2014/chart" uri="{C3380CC4-5D6E-409C-BE32-E72D297353CC}">
              <c16:uniqueId val="{00000000-0923-4E3C-9324-401C8C11A399}"/>
            </c:ext>
          </c:extLst>
        </c:ser>
        <c:ser>
          <c:idx val="1"/>
          <c:order val="1"/>
          <c:tx>
            <c:v>σθ/Pmax</c:v>
          </c:tx>
          <c:marker>
            <c:symbol val="square"/>
            <c:size val="4"/>
          </c:marker>
          <c:xVal>
            <c:numRef>
              <c:f>'Contact Ponctuel'!$P$103:$P$132</c:f>
              <c:numCache>
                <c:formatCode>0.000</c:formatCode>
                <c:ptCount val="30"/>
                <c:pt idx="0">
                  <c:v>0.8</c:v>
                </c:pt>
                <c:pt idx="1">
                  <c:v>0.50062737842899963</c:v>
                </c:pt>
                <c:pt idx="2">
                  <c:v>0.29783912934772799</c:v>
                </c:pt>
                <c:pt idx="3">
                  <c:v>0.17028321208242214</c:v>
                </c:pt>
                <c:pt idx="4">
                  <c:v>9.4152705299884676E-2</c:v>
                </c:pt>
                <c:pt idx="5">
                  <c:v>5.0114763506515725E-2</c:v>
                </c:pt>
                <c:pt idx="6">
                  <c:v>2.503853175546647E-2</c:v>
                </c:pt>
                <c:pt idx="7">
                  <c:v>1.086581275495796E-2</c:v>
                </c:pt>
                <c:pt idx="8">
                  <c:v>2.9060523252612824E-3</c:v>
                </c:pt>
                <c:pt idx="9">
                  <c:v>-1.5097919068783328E-3</c:v>
                </c:pt>
                <c:pt idx="10">
                  <c:v>-3.8931615212813853E-3</c:v>
                </c:pt>
                <c:pt idx="11">
                  <c:v>-5.1042693907142195E-3</c:v>
                </c:pt>
                <c:pt idx="12">
                  <c:v>-5.6374852939241188E-3</c:v>
                </c:pt>
                <c:pt idx="13">
                  <c:v>-5.7801306220569698E-3</c:v>
                </c:pt>
                <c:pt idx="14">
                  <c:v>-5.7009610819423601E-3</c:v>
                </c:pt>
                <c:pt idx="15">
                  <c:v>-5.4999174050424926E-3</c:v>
                </c:pt>
                <c:pt idx="16">
                  <c:v>-5.2364597362497753E-3</c:v>
                </c:pt>
                <c:pt idx="17">
                  <c:v>-4.9459390610449919E-3</c:v>
                </c:pt>
                <c:pt idx="18">
                  <c:v>-4.6491959513085893E-3</c:v>
                </c:pt>
                <c:pt idx="19">
                  <c:v>-4.3582678388916635E-3</c:v>
                </c:pt>
                <c:pt idx="20">
                  <c:v>-4.0798263335384555E-3</c:v>
                </c:pt>
                <c:pt idx="21">
                  <c:v>-3.817270872370257E-3</c:v>
                </c:pt>
                <c:pt idx="22">
                  <c:v>-3.5720159304602414E-3</c:v>
                </c:pt>
                <c:pt idx="23">
                  <c:v>-3.3442880417316433E-3</c:v>
                </c:pt>
                <c:pt idx="24">
                  <c:v>-3.1336214580983852E-3</c:v>
                </c:pt>
                <c:pt idx="25">
                  <c:v>-2.9391667042305558E-3</c:v>
                </c:pt>
                <c:pt idx="26">
                  <c:v>-2.7598820173976545E-3</c:v>
                </c:pt>
                <c:pt idx="27">
                  <c:v>-2.5946510247558605E-3</c:v>
                </c:pt>
                <c:pt idx="28">
                  <c:v>-2.4423537778329799E-3</c:v>
                </c:pt>
                <c:pt idx="29">
                  <c:v>-2.3019082549942706E-3</c:v>
                </c:pt>
              </c:numCache>
            </c:numRef>
          </c:xVal>
          <c:yVal>
            <c:numRef>
              <c:f>'Contact Ponctuel'!$V$103:$V$132</c:f>
              <c:numCache>
                <c:formatCode>0.000</c:formatCode>
                <c:ptCount val="30"/>
                <c:pt idx="0">
                  <c:v>0</c:v>
                </c:pt>
                <c:pt idx="1">
                  <c:v>-0.17241379310344826</c:v>
                </c:pt>
                <c:pt idx="2">
                  <c:v>-0.34482758620689652</c:v>
                </c:pt>
                <c:pt idx="3">
                  <c:v>-0.51724137931034486</c:v>
                </c:pt>
                <c:pt idx="4">
                  <c:v>-0.68965517241379304</c:v>
                </c:pt>
                <c:pt idx="5">
                  <c:v>-0.86206896551724133</c:v>
                </c:pt>
                <c:pt idx="6">
                  <c:v>-1.0344827586206897</c:v>
                </c:pt>
                <c:pt idx="7">
                  <c:v>-1.2068965517241379</c:v>
                </c:pt>
                <c:pt idx="8">
                  <c:v>-1.3793103448275861</c:v>
                </c:pt>
                <c:pt idx="9">
                  <c:v>-1.5517241379310345</c:v>
                </c:pt>
                <c:pt idx="10">
                  <c:v>-1.7241379310344827</c:v>
                </c:pt>
                <c:pt idx="11">
                  <c:v>-1.896551724137931</c:v>
                </c:pt>
                <c:pt idx="12">
                  <c:v>-2.0689655172413794</c:v>
                </c:pt>
                <c:pt idx="13">
                  <c:v>-2.2413793103448274</c:v>
                </c:pt>
                <c:pt idx="14">
                  <c:v>-2.4137931034482754</c:v>
                </c:pt>
                <c:pt idx="15">
                  <c:v>-2.5862068965517233</c:v>
                </c:pt>
                <c:pt idx="16">
                  <c:v>-2.7586206896551713</c:v>
                </c:pt>
                <c:pt idx="17">
                  <c:v>-2.9310344827586192</c:v>
                </c:pt>
                <c:pt idx="18">
                  <c:v>-3.1034482758620676</c:v>
                </c:pt>
                <c:pt idx="19">
                  <c:v>-3.2758620689655156</c:v>
                </c:pt>
                <c:pt idx="20">
                  <c:v>-3.4482758620689635</c:v>
                </c:pt>
                <c:pt idx="21">
                  <c:v>-3.6206896551724115</c:v>
                </c:pt>
                <c:pt idx="22">
                  <c:v>-3.7931034482758594</c:v>
                </c:pt>
                <c:pt idx="23">
                  <c:v>-3.9655172413793078</c:v>
                </c:pt>
                <c:pt idx="24">
                  <c:v>-4.1379310344827553</c:v>
                </c:pt>
                <c:pt idx="25">
                  <c:v>-4.3103448275862037</c:v>
                </c:pt>
                <c:pt idx="26">
                  <c:v>-4.4827586206896521</c:v>
                </c:pt>
                <c:pt idx="27">
                  <c:v>-4.6551724137930997</c:v>
                </c:pt>
                <c:pt idx="28">
                  <c:v>-4.827586206896548</c:v>
                </c:pt>
                <c:pt idx="29">
                  <c:v>-5</c:v>
                </c:pt>
              </c:numCache>
            </c:numRef>
          </c:yVal>
          <c:smooth val="0"/>
          <c:extLst>
            <c:ext xmlns:c16="http://schemas.microsoft.com/office/drawing/2014/chart" uri="{C3380CC4-5D6E-409C-BE32-E72D297353CC}">
              <c16:uniqueId val="{00000001-0923-4E3C-9324-401C8C11A399}"/>
            </c:ext>
          </c:extLst>
        </c:ser>
        <c:ser>
          <c:idx val="2"/>
          <c:order val="2"/>
          <c:tx>
            <c:v>σz/Pmax</c:v>
          </c:tx>
          <c:marker>
            <c:symbol val="triangle"/>
            <c:size val="4"/>
          </c:marker>
          <c:xVal>
            <c:numRef>
              <c:f>'Contact Ponctuel'!$R$103:$R$132</c:f>
              <c:numCache>
                <c:formatCode>0.000</c:formatCode>
                <c:ptCount val="30"/>
                <c:pt idx="0">
                  <c:v>1</c:v>
                </c:pt>
                <c:pt idx="1">
                  <c:v>0.97113163972286387</c:v>
                </c:pt>
                <c:pt idx="2">
                  <c:v>0.89373007438894791</c:v>
                </c:pt>
                <c:pt idx="3">
                  <c:v>0.78893058161350837</c:v>
                </c:pt>
                <c:pt idx="4">
                  <c:v>0.67767929089444001</c:v>
                </c:pt>
                <c:pt idx="5">
                  <c:v>0.57366984993178727</c:v>
                </c:pt>
                <c:pt idx="6">
                  <c:v>0.48305571510626072</c:v>
                </c:pt>
                <c:pt idx="7">
                  <c:v>0.40706679574056154</c:v>
                </c:pt>
                <c:pt idx="8">
                  <c:v>0.34453092994674323</c:v>
                </c:pt>
                <c:pt idx="9">
                  <c:v>0.29344033496161898</c:v>
                </c:pt>
                <c:pt idx="10">
                  <c:v>0.25172104160431014</c:v>
                </c:pt>
                <c:pt idx="11">
                  <c:v>0.21753750646663217</c:v>
                </c:pt>
                <c:pt idx="12">
                  <c:v>0.18937176311641521</c:v>
                </c:pt>
                <c:pt idx="13">
                  <c:v>0.16600868535333599</c:v>
                </c:pt>
                <c:pt idx="14">
                  <c:v>0.14649015850897062</c:v>
                </c:pt>
                <c:pt idx="15">
                  <c:v>0.13006495515001554</c:v>
                </c:pt>
                <c:pt idx="16">
                  <c:v>0.11614417898080384</c:v>
                </c:pt>
                <c:pt idx="17">
                  <c:v>0.10426481527398967</c:v>
                </c:pt>
                <c:pt idx="18">
                  <c:v>9.4061066994743384E-2</c:v>
                </c:pt>
                <c:pt idx="19">
                  <c:v>8.5242246097709376E-2</c:v>
                </c:pt>
                <c:pt idx="20">
                  <c:v>7.7575869384743187E-2</c:v>
                </c:pt>
                <c:pt idx="21">
                  <c:v>7.087476824540713E-2</c:v>
                </c:pt>
                <c:pt idx="22">
                  <c:v>6.4987249826134075E-2</c:v>
                </c:pt>
                <c:pt idx="23">
                  <c:v>5.9789563486421234E-2</c:v>
                </c:pt>
                <c:pt idx="24">
                  <c:v>5.5180106292238122E-2</c:v>
                </c:pt>
                <c:pt idx="25">
                  <c:v>5.1074942305356565E-2</c:v>
                </c:pt>
                <c:pt idx="26">
                  <c:v>4.7404317682205127E-2</c:v>
                </c:pt>
                <c:pt idx="27">
                  <c:v>4.4109933913773276E-2</c:v>
                </c:pt>
                <c:pt idx="28">
                  <c:v>4.1142801232816453E-2</c:v>
                </c:pt>
                <c:pt idx="29">
                  <c:v>3.8461538461538464E-2</c:v>
                </c:pt>
              </c:numCache>
            </c:numRef>
          </c:xVal>
          <c:yVal>
            <c:numRef>
              <c:f>'Contact Ponctuel'!$V$103:$V$132</c:f>
              <c:numCache>
                <c:formatCode>0.000</c:formatCode>
                <c:ptCount val="30"/>
                <c:pt idx="0">
                  <c:v>0</c:v>
                </c:pt>
                <c:pt idx="1">
                  <c:v>-0.17241379310344826</c:v>
                </c:pt>
                <c:pt idx="2">
                  <c:v>-0.34482758620689652</c:v>
                </c:pt>
                <c:pt idx="3">
                  <c:v>-0.51724137931034486</c:v>
                </c:pt>
                <c:pt idx="4">
                  <c:v>-0.68965517241379304</c:v>
                </c:pt>
                <c:pt idx="5">
                  <c:v>-0.86206896551724133</c:v>
                </c:pt>
                <c:pt idx="6">
                  <c:v>-1.0344827586206897</c:v>
                </c:pt>
                <c:pt idx="7">
                  <c:v>-1.2068965517241379</c:v>
                </c:pt>
                <c:pt idx="8">
                  <c:v>-1.3793103448275861</c:v>
                </c:pt>
                <c:pt idx="9">
                  <c:v>-1.5517241379310345</c:v>
                </c:pt>
                <c:pt idx="10">
                  <c:v>-1.7241379310344827</c:v>
                </c:pt>
                <c:pt idx="11">
                  <c:v>-1.896551724137931</c:v>
                </c:pt>
                <c:pt idx="12">
                  <c:v>-2.0689655172413794</c:v>
                </c:pt>
                <c:pt idx="13">
                  <c:v>-2.2413793103448274</c:v>
                </c:pt>
                <c:pt idx="14">
                  <c:v>-2.4137931034482754</c:v>
                </c:pt>
                <c:pt idx="15">
                  <c:v>-2.5862068965517233</c:v>
                </c:pt>
                <c:pt idx="16">
                  <c:v>-2.7586206896551713</c:v>
                </c:pt>
                <c:pt idx="17">
                  <c:v>-2.9310344827586192</c:v>
                </c:pt>
                <c:pt idx="18">
                  <c:v>-3.1034482758620676</c:v>
                </c:pt>
                <c:pt idx="19">
                  <c:v>-3.2758620689655156</c:v>
                </c:pt>
                <c:pt idx="20">
                  <c:v>-3.4482758620689635</c:v>
                </c:pt>
                <c:pt idx="21">
                  <c:v>-3.6206896551724115</c:v>
                </c:pt>
                <c:pt idx="22">
                  <c:v>-3.7931034482758594</c:v>
                </c:pt>
                <c:pt idx="23">
                  <c:v>-3.9655172413793078</c:v>
                </c:pt>
                <c:pt idx="24">
                  <c:v>-4.1379310344827553</c:v>
                </c:pt>
                <c:pt idx="25">
                  <c:v>-4.3103448275862037</c:v>
                </c:pt>
                <c:pt idx="26">
                  <c:v>-4.4827586206896521</c:v>
                </c:pt>
                <c:pt idx="27">
                  <c:v>-4.6551724137930997</c:v>
                </c:pt>
                <c:pt idx="28">
                  <c:v>-4.827586206896548</c:v>
                </c:pt>
                <c:pt idx="29">
                  <c:v>-5</c:v>
                </c:pt>
              </c:numCache>
            </c:numRef>
          </c:yVal>
          <c:smooth val="0"/>
          <c:extLst>
            <c:ext xmlns:c16="http://schemas.microsoft.com/office/drawing/2014/chart" uri="{C3380CC4-5D6E-409C-BE32-E72D297353CC}">
              <c16:uniqueId val="{00000002-0923-4E3C-9324-401C8C11A399}"/>
            </c:ext>
          </c:extLst>
        </c:ser>
        <c:ser>
          <c:idx val="3"/>
          <c:order val="3"/>
          <c:tx>
            <c:v>τ/Pmax</c:v>
          </c:tx>
          <c:marker>
            <c:symbol val="x"/>
            <c:size val="4"/>
          </c:marker>
          <c:xVal>
            <c:numRef>
              <c:f>'Contact Ponctuel'!$T$103:$T$132</c:f>
              <c:numCache>
                <c:formatCode>0.000</c:formatCode>
                <c:ptCount val="30"/>
                <c:pt idx="0">
                  <c:v>9.9999999999999978E-2</c:v>
                </c:pt>
                <c:pt idx="1">
                  <c:v>0.23525213064693215</c:v>
                </c:pt>
                <c:pt idx="2">
                  <c:v>0.29794547252060993</c:v>
                </c:pt>
                <c:pt idx="3">
                  <c:v>0.30932368476554306</c:v>
                </c:pt>
                <c:pt idx="4">
                  <c:v>0.29176329279727764</c:v>
                </c:pt>
                <c:pt idx="5">
                  <c:v>0.2617775432126358</c:v>
                </c:pt>
                <c:pt idx="6">
                  <c:v>0.22900859167539711</c:v>
                </c:pt>
                <c:pt idx="7">
                  <c:v>0.19810049149280179</c:v>
                </c:pt>
                <c:pt idx="8">
                  <c:v>0.17081243881074099</c:v>
                </c:pt>
                <c:pt idx="9">
                  <c:v>0.14747506343424863</c:v>
                </c:pt>
                <c:pt idx="10">
                  <c:v>0.12780710156279576</c:v>
                </c:pt>
                <c:pt idx="11">
                  <c:v>0.1113208879286732</c:v>
                </c:pt>
                <c:pt idx="12">
                  <c:v>9.7504624205169671E-2</c:v>
                </c:pt>
                <c:pt idx="13">
                  <c:v>8.5894407987696486E-2</c:v>
                </c:pt>
                <c:pt idx="14">
                  <c:v>7.6095559795456499E-2</c:v>
                </c:pt>
                <c:pt idx="15">
                  <c:v>6.7782436277529015E-2</c:v>
                </c:pt>
                <c:pt idx="16">
                  <c:v>6.0690319358526805E-2</c:v>
                </c:pt>
                <c:pt idx="17">
                  <c:v>5.4605377167517337E-2</c:v>
                </c:pt>
                <c:pt idx="18">
                  <c:v>4.935513147302599E-2</c:v>
                </c:pt>
                <c:pt idx="19">
                  <c:v>4.480025696830052E-2</c:v>
                </c:pt>
                <c:pt idx="20">
                  <c:v>4.0827847859140821E-2</c:v>
                </c:pt>
                <c:pt idx="21">
                  <c:v>3.73460195588887E-2</c:v>
                </c:pt>
                <c:pt idx="22">
                  <c:v>3.4279632878297155E-2</c:v>
                </c:pt>
                <c:pt idx="23">
                  <c:v>3.1566925764076437E-2</c:v>
                </c:pt>
                <c:pt idx="24">
                  <c:v>2.9156863875168255E-2</c:v>
                </c:pt>
                <c:pt idx="25">
                  <c:v>2.700705450479356E-2</c:v>
                </c:pt>
                <c:pt idx="26">
                  <c:v>2.5082099849801396E-2</c:v>
                </c:pt>
                <c:pt idx="27">
                  <c:v>2.3352292469264572E-2</c:v>
                </c:pt>
                <c:pt idx="28">
                  <c:v>2.1792577505324717E-2</c:v>
                </c:pt>
                <c:pt idx="29">
                  <c:v>2.0381723358266369E-2</c:v>
                </c:pt>
              </c:numCache>
            </c:numRef>
          </c:xVal>
          <c:yVal>
            <c:numRef>
              <c:f>'Contact Ponctuel'!$V$103:$V$132</c:f>
              <c:numCache>
                <c:formatCode>0.000</c:formatCode>
                <c:ptCount val="30"/>
                <c:pt idx="0">
                  <c:v>0</c:v>
                </c:pt>
                <c:pt idx="1">
                  <c:v>-0.17241379310344826</c:v>
                </c:pt>
                <c:pt idx="2">
                  <c:v>-0.34482758620689652</c:v>
                </c:pt>
                <c:pt idx="3">
                  <c:v>-0.51724137931034486</c:v>
                </c:pt>
                <c:pt idx="4">
                  <c:v>-0.68965517241379304</c:v>
                </c:pt>
                <c:pt idx="5">
                  <c:v>-0.86206896551724133</c:v>
                </c:pt>
                <c:pt idx="6">
                  <c:v>-1.0344827586206897</c:v>
                </c:pt>
                <c:pt idx="7">
                  <c:v>-1.2068965517241379</c:v>
                </c:pt>
                <c:pt idx="8">
                  <c:v>-1.3793103448275861</c:v>
                </c:pt>
                <c:pt idx="9">
                  <c:v>-1.5517241379310345</c:v>
                </c:pt>
                <c:pt idx="10">
                  <c:v>-1.7241379310344827</c:v>
                </c:pt>
                <c:pt idx="11">
                  <c:v>-1.896551724137931</c:v>
                </c:pt>
                <c:pt idx="12">
                  <c:v>-2.0689655172413794</c:v>
                </c:pt>
                <c:pt idx="13">
                  <c:v>-2.2413793103448274</c:v>
                </c:pt>
                <c:pt idx="14">
                  <c:v>-2.4137931034482754</c:v>
                </c:pt>
                <c:pt idx="15">
                  <c:v>-2.5862068965517233</c:v>
                </c:pt>
                <c:pt idx="16">
                  <c:v>-2.7586206896551713</c:v>
                </c:pt>
                <c:pt idx="17">
                  <c:v>-2.9310344827586192</c:v>
                </c:pt>
                <c:pt idx="18">
                  <c:v>-3.1034482758620676</c:v>
                </c:pt>
                <c:pt idx="19">
                  <c:v>-3.2758620689655156</c:v>
                </c:pt>
                <c:pt idx="20">
                  <c:v>-3.4482758620689635</c:v>
                </c:pt>
                <c:pt idx="21">
                  <c:v>-3.6206896551724115</c:v>
                </c:pt>
                <c:pt idx="22">
                  <c:v>-3.7931034482758594</c:v>
                </c:pt>
                <c:pt idx="23">
                  <c:v>-3.9655172413793078</c:v>
                </c:pt>
                <c:pt idx="24">
                  <c:v>-4.1379310344827553</c:v>
                </c:pt>
                <c:pt idx="25">
                  <c:v>-4.3103448275862037</c:v>
                </c:pt>
                <c:pt idx="26">
                  <c:v>-4.4827586206896521</c:v>
                </c:pt>
                <c:pt idx="27">
                  <c:v>-4.6551724137930997</c:v>
                </c:pt>
                <c:pt idx="28">
                  <c:v>-4.827586206896548</c:v>
                </c:pt>
                <c:pt idx="29">
                  <c:v>-5</c:v>
                </c:pt>
              </c:numCache>
            </c:numRef>
          </c:yVal>
          <c:smooth val="0"/>
          <c:extLst>
            <c:ext xmlns:c16="http://schemas.microsoft.com/office/drawing/2014/chart" uri="{C3380CC4-5D6E-409C-BE32-E72D297353CC}">
              <c16:uniqueId val="{00000003-0923-4E3C-9324-401C8C11A399}"/>
            </c:ext>
          </c:extLst>
        </c:ser>
        <c:dLbls>
          <c:showLegendKey val="0"/>
          <c:showVal val="0"/>
          <c:showCatName val="0"/>
          <c:showSerName val="0"/>
          <c:showPercent val="0"/>
          <c:showBubbleSize val="0"/>
        </c:dLbls>
        <c:axId val="140574080"/>
        <c:axId val="140584448"/>
      </c:scatterChart>
      <c:valAx>
        <c:axId val="140574080"/>
        <c:scaling>
          <c:orientation val="minMax"/>
          <c:min val="0"/>
        </c:scaling>
        <c:delete val="0"/>
        <c:axPos val="b"/>
        <c:title>
          <c:tx>
            <c:rich>
              <a:bodyPr/>
              <a:lstStyle/>
              <a:p>
                <a:pPr>
                  <a:defRPr sz="1100" b="0" i="0" u="none" strike="noStrike" baseline="0">
                    <a:solidFill>
                      <a:srgbClr val="000000"/>
                    </a:solidFill>
                    <a:latin typeface="Calibri"/>
                    <a:ea typeface="Calibri"/>
                    <a:cs typeface="Calibri"/>
                  </a:defRPr>
                </a:pPr>
                <a:r>
                  <a:rPr lang="fr-FR" sz="1100" b="1" i="0" u="none" strike="noStrike" baseline="0">
                    <a:solidFill>
                      <a:srgbClr val="000000"/>
                    </a:solidFill>
                    <a:latin typeface="Calibri"/>
                  </a:rPr>
                  <a:t>-σ/P</a:t>
                </a:r>
                <a:r>
                  <a:rPr lang="fr-FR" sz="1100" b="1" i="0" u="none" strike="noStrike" baseline="-25000">
                    <a:solidFill>
                      <a:srgbClr val="000000"/>
                    </a:solidFill>
                    <a:latin typeface="Calibri"/>
                  </a:rPr>
                  <a:t>max</a:t>
                </a:r>
              </a:p>
            </c:rich>
          </c:tx>
          <c:layout>
            <c:manualLayout>
              <c:xMode val="edge"/>
              <c:yMode val="edge"/>
              <c:x val="0.44847628614324442"/>
              <c:y val="0.10224994952554008"/>
            </c:manualLayout>
          </c:layout>
          <c:overlay val="0"/>
        </c:title>
        <c:numFmt formatCode="0.00"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fr-FR"/>
          </a:p>
        </c:txPr>
        <c:crossAx val="140584448"/>
        <c:crosses val="autoZero"/>
        <c:crossBetween val="midCat"/>
      </c:valAx>
      <c:valAx>
        <c:axId val="140584448"/>
        <c:scaling>
          <c:orientation val="minMax"/>
          <c:max val="0"/>
        </c:scaling>
        <c:delete val="0"/>
        <c:axPos val="l"/>
        <c:majorGridlines/>
        <c:title>
          <c:tx>
            <c:rich>
              <a:bodyPr/>
              <a:lstStyle/>
              <a:p>
                <a:pPr>
                  <a:defRPr sz="1100" b="1" i="0" u="none" strike="noStrike" baseline="0">
                    <a:solidFill>
                      <a:srgbClr val="000000"/>
                    </a:solidFill>
                    <a:latin typeface="Calibri"/>
                    <a:ea typeface="Calibri"/>
                    <a:cs typeface="Calibri"/>
                  </a:defRPr>
                </a:pPr>
                <a:r>
                  <a:rPr lang="fr-FR"/>
                  <a:t>z/b</a:t>
                </a:r>
              </a:p>
            </c:rich>
          </c:tx>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0574080"/>
        <c:crosses val="autoZero"/>
        <c:crossBetween val="midCat"/>
      </c:valAx>
    </c:plotArea>
    <c:legend>
      <c:legendPos val="r"/>
      <c:overlay val="0"/>
      <c:spPr>
        <a:solidFill>
          <a:schemeClr val="bg1"/>
        </a:solidFill>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fr-FR" sz="1500" b="1" i="0" u="none" strike="noStrike" kern="1200" baseline="0">
                <a:solidFill>
                  <a:srgbClr val="000000"/>
                </a:solidFill>
                <a:latin typeface="Calibri"/>
                <a:ea typeface="Calibri"/>
                <a:cs typeface="Calibri"/>
              </a:defRPr>
            </a:pPr>
            <a:r>
              <a:rPr lang="fr-FR" sz="1500" b="1" i="0" u="none" strike="noStrike" kern="1200" baseline="0">
                <a:solidFill>
                  <a:srgbClr val="000000"/>
                </a:solidFill>
                <a:latin typeface="Calibri"/>
                <a:ea typeface="Calibri"/>
                <a:cs typeface="Calibri"/>
              </a:rPr>
              <a:t>Répartition des contraintes dans la profondeur du solide n°2</a:t>
            </a:r>
          </a:p>
        </c:rich>
      </c:tx>
      <c:overlay val="0"/>
    </c:title>
    <c:autoTitleDeleted val="0"/>
    <c:plotArea>
      <c:layout>
        <c:manualLayout>
          <c:layoutTarget val="inner"/>
          <c:xMode val="edge"/>
          <c:yMode val="edge"/>
          <c:x val="7.3751243222203763E-2"/>
          <c:y val="0.29859049785819664"/>
          <c:w val="0.84992115025287807"/>
          <c:h val="0.66799334056154946"/>
        </c:manualLayout>
      </c:layout>
      <c:scatterChart>
        <c:scatterStyle val="lineMarker"/>
        <c:varyColors val="0"/>
        <c:ser>
          <c:idx val="0"/>
          <c:order val="0"/>
          <c:tx>
            <c:v>σr</c:v>
          </c:tx>
          <c:marker>
            <c:symbol val="diamond"/>
            <c:size val="4"/>
          </c:marker>
          <c:xVal>
            <c:numRef>
              <c:f>'Contact Ponctuel'!$M$103:$M$132</c:f>
              <c:numCache>
                <c:formatCode>0.00</c:formatCode>
                <c:ptCount val="30"/>
                <c:pt idx="0">
                  <c:v>-383.2656562276776</c:v>
                </c:pt>
                <c:pt idx="1">
                  <c:v>-239.84160089891552</c:v>
                </c:pt>
                <c:pt idx="2">
                  <c:v>-142.68938669967139</c:v>
                </c:pt>
                <c:pt idx="3">
                  <c:v>-81.579633779157902</c:v>
                </c:pt>
                <c:pt idx="4">
                  <c:v>-45.106872977964294</c:v>
                </c:pt>
                <c:pt idx="5">
                  <c:v>-24.009084652524521</c:v>
                </c:pt>
                <c:pt idx="6">
                  <c:v>-11.9955116302955</c:v>
                </c:pt>
                <c:pt idx="7">
                  <c:v>-5.2056160699700396</c:v>
                </c:pt>
                <c:pt idx="8">
                  <c:v>-1.3922375643415421</c:v>
                </c:pt>
                <c:pt idx="9">
                  <c:v>0.72331423244620108</c:v>
                </c:pt>
                <c:pt idx="10">
                  <c:v>1.865143881567817</c:v>
                </c:pt>
                <c:pt idx="11">
                  <c:v>2.4453639469936665</c:v>
                </c:pt>
                <c:pt idx="12">
                  <c:v>2.7008181258121366</c:v>
                </c:pt>
                <c:pt idx="13">
                  <c:v>2.7691569449304483</c:v>
                </c:pt>
                <c:pt idx="14">
                  <c:v>2.7312282377488617</c:v>
                </c:pt>
                <c:pt idx="15">
                  <c:v>2.6349118168020458</c:v>
                </c:pt>
                <c:pt idx="16">
                  <c:v>2.5086939714044769</c:v>
                </c:pt>
                <c:pt idx="17">
                  <c:v>2.3695107248668905</c:v>
                </c:pt>
                <c:pt idx="18">
                  <c:v>2.2273464215116854</c:v>
                </c:pt>
                <c:pt idx="19">
                  <c:v>2.0879679791109944</c:v>
                </c:pt>
                <c:pt idx="20">
                  <c:v>1.9545716462732199</c:v>
                </c:pt>
                <c:pt idx="21">
                  <c:v>1.8287860323722323</c:v>
                </c:pt>
                <c:pt idx="22">
                  <c:v>1.7112887870544533</c:v>
                </c:pt>
                <c:pt idx="23">
                  <c:v>1.6021884386608163</c:v>
                </c:pt>
                <c:pt idx="24">
                  <c:v>1.5012618556340118</c:v>
                </c:pt>
                <c:pt idx="25">
                  <c:v>1.4081020695743303</c:v>
                </c:pt>
                <c:pt idx="26">
                  <c:v>1.3222099906360985</c:v>
                </c:pt>
                <c:pt idx="27">
                  <c:v>1.2430507846060888</c:v>
                </c:pt>
                <c:pt idx="28">
                  <c:v>1.1700879042516306</c:v>
                </c:pt>
                <c:pt idx="29">
                  <c:v>1.1028029724078592</c:v>
                </c:pt>
              </c:numCache>
            </c:numRef>
          </c:xVal>
          <c:yVal>
            <c:numRef>
              <c:f>'Contact Ponctuel'!$U$103:$U$132</c:f>
              <c:numCache>
                <c:formatCode>0.000</c:formatCode>
                <c:ptCount val="30"/>
                <c:pt idx="0">
                  <c:v>0</c:v>
                </c:pt>
                <c:pt idx="1">
                  <c:v>0.32201178252746177</c:v>
                </c:pt>
                <c:pt idx="2">
                  <c:v>0.64402356505492353</c:v>
                </c:pt>
                <c:pt idx="3">
                  <c:v>0.9660353475823853</c:v>
                </c:pt>
                <c:pt idx="4">
                  <c:v>1.2880471301098471</c:v>
                </c:pt>
                <c:pt idx="5">
                  <c:v>1.6100589126373088</c:v>
                </c:pt>
                <c:pt idx="6">
                  <c:v>1.9320706951647706</c:v>
                </c:pt>
                <c:pt idx="7">
                  <c:v>2.2540824776922324</c:v>
                </c:pt>
                <c:pt idx="8">
                  <c:v>2.5760942602196941</c:v>
                </c:pt>
                <c:pt idx="9">
                  <c:v>2.8981060427471559</c:v>
                </c:pt>
                <c:pt idx="10">
                  <c:v>3.2201178252746177</c:v>
                </c:pt>
                <c:pt idx="11">
                  <c:v>3.5421296078020794</c:v>
                </c:pt>
                <c:pt idx="12">
                  <c:v>3.8641413903295412</c:v>
                </c:pt>
                <c:pt idx="13">
                  <c:v>4.1861531728570025</c:v>
                </c:pt>
                <c:pt idx="14">
                  <c:v>4.5081649553844638</c:v>
                </c:pt>
                <c:pt idx="15">
                  <c:v>4.8301767379119251</c:v>
                </c:pt>
                <c:pt idx="16">
                  <c:v>5.1521885204393865</c:v>
                </c:pt>
                <c:pt idx="17">
                  <c:v>5.4742003029668478</c:v>
                </c:pt>
                <c:pt idx="18">
                  <c:v>5.7962120854943091</c:v>
                </c:pt>
                <c:pt idx="19">
                  <c:v>6.1182238680217704</c:v>
                </c:pt>
                <c:pt idx="20">
                  <c:v>6.4402356505492317</c:v>
                </c:pt>
                <c:pt idx="21">
                  <c:v>6.7622474330766931</c:v>
                </c:pt>
                <c:pt idx="22">
                  <c:v>7.0842592156041544</c:v>
                </c:pt>
                <c:pt idx="23">
                  <c:v>7.4062709981316157</c:v>
                </c:pt>
                <c:pt idx="24">
                  <c:v>7.728282780659077</c:v>
                </c:pt>
                <c:pt idx="25">
                  <c:v>8.0502945631865384</c:v>
                </c:pt>
                <c:pt idx="26">
                  <c:v>8.3723063457139997</c:v>
                </c:pt>
                <c:pt idx="27">
                  <c:v>8.694318128241461</c:v>
                </c:pt>
                <c:pt idx="28">
                  <c:v>9.0163299107689223</c:v>
                </c:pt>
                <c:pt idx="29">
                  <c:v>9.3383416932963907</c:v>
                </c:pt>
              </c:numCache>
            </c:numRef>
          </c:yVal>
          <c:smooth val="0"/>
          <c:extLst>
            <c:ext xmlns:c16="http://schemas.microsoft.com/office/drawing/2014/chart" uri="{C3380CC4-5D6E-409C-BE32-E72D297353CC}">
              <c16:uniqueId val="{00000000-7B2D-4B8C-B052-5325F98D0976}"/>
            </c:ext>
          </c:extLst>
        </c:ser>
        <c:ser>
          <c:idx val="1"/>
          <c:order val="1"/>
          <c:tx>
            <c:v>σθ</c:v>
          </c:tx>
          <c:marker>
            <c:symbol val="square"/>
            <c:size val="4"/>
          </c:marker>
          <c:xVal>
            <c:numRef>
              <c:f>'Contact Ponctuel'!$O$103:$O$132</c:f>
              <c:numCache>
                <c:formatCode>0.00</c:formatCode>
                <c:ptCount val="30"/>
                <c:pt idx="0">
                  <c:v>-383.2656562276776</c:v>
                </c:pt>
                <c:pt idx="1">
                  <c:v>-239.84160089891552</c:v>
                </c:pt>
                <c:pt idx="2">
                  <c:v>-142.68938669967139</c:v>
                </c:pt>
                <c:pt idx="3">
                  <c:v>-81.579633779157902</c:v>
                </c:pt>
                <c:pt idx="4">
                  <c:v>-45.106872977964294</c:v>
                </c:pt>
                <c:pt idx="5">
                  <c:v>-24.009084652524521</c:v>
                </c:pt>
                <c:pt idx="6">
                  <c:v>-11.9955116302955</c:v>
                </c:pt>
                <c:pt idx="7">
                  <c:v>-5.2056160699700396</c:v>
                </c:pt>
                <c:pt idx="8">
                  <c:v>-1.3922375643415421</c:v>
                </c:pt>
                <c:pt idx="9">
                  <c:v>0.72331423244620108</c:v>
                </c:pt>
                <c:pt idx="10">
                  <c:v>1.865143881567817</c:v>
                </c:pt>
                <c:pt idx="11">
                  <c:v>2.4453639469936665</c:v>
                </c:pt>
                <c:pt idx="12">
                  <c:v>2.7008181258121366</c:v>
                </c:pt>
                <c:pt idx="13">
                  <c:v>2.7691569449304483</c:v>
                </c:pt>
                <c:pt idx="14">
                  <c:v>2.7312282377488617</c:v>
                </c:pt>
                <c:pt idx="15">
                  <c:v>2.6349118168020458</c:v>
                </c:pt>
                <c:pt idx="16">
                  <c:v>2.5086939714044769</c:v>
                </c:pt>
                <c:pt idx="17">
                  <c:v>2.3695107248668905</c:v>
                </c:pt>
                <c:pt idx="18">
                  <c:v>2.2273464215116854</c:v>
                </c:pt>
                <c:pt idx="19">
                  <c:v>2.0879679791109944</c:v>
                </c:pt>
                <c:pt idx="20">
                  <c:v>1.9545716462732199</c:v>
                </c:pt>
                <c:pt idx="21">
                  <c:v>1.8287860323722323</c:v>
                </c:pt>
                <c:pt idx="22">
                  <c:v>1.7112887870544533</c:v>
                </c:pt>
                <c:pt idx="23">
                  <c:v>1.6021884386608163</c:v>
                </c:pt>
                <c:pt idx="24">
                  <c:v>1.5012618556340118</c:v>
                </c:pt>
                <c:pt idx="25">
                  <c:v>1.4081020695743303</c:v>
                </c:pt>
                <c:pt idx="26">
                  <c:v>1.3222099906360985</c:v>
                </c:pt>
                <c:pt idx="27">
                  <c:v>1.2430507846060888</c:v>
                </c:pt>
                <c:pt idx="28">
                  <c:v>1.1700879042516306</c:v>
                </c:pt>
                <c:pt idx="29">
                  <c:v>1.1028029724078592</c:v>
                </c:pt>
              </c:numCache>
            </c:numRef>
          </c:xVal>
          <c:yVal>
            <c:numRef>
              <c:f>'Contact Ponctuel'!$U$103:$U$132</c:f>
              <c:numCache>
                <c:formatCode>0.000</c:formatCode>
                <c:ptCount val="30"/>
                <c:pt idx="0">
                  <c:v>0</c:v>
                </c:pt>
                <c:pt idx="1">
                  <c:v>0.32201178252746177</c:v>
                </c:pt>
                <c:pt idx="2">
                  <c:v>0.64402356505492353</c:v>
                </c:pt>
                <c:pt idx="3">
                  <c:v>0.9660353475823853</c:v>
                </c:pt>
                <c:pt idx="4">
                  <c:v>1.2880471301098471</c:v>
                </c:pt>
                <c:pt idx="5">
                  <c:v>1.6100589126373088</c:v>
                </c:pt>
                <c:pt idx="6">
                  <c:v>1.9320706951647706</c:v>
                </c:pt>
                <c:pt idx="7">
                  <c:v>2.2540824776922324</c:v>
                </c:pt>
                <c:pt idx="8">
                  <c:v>2.5760942602196941</c:v>
                </c:pt>
                <c:pt idx="9">
                  <c:v>2.8981060427471559</c:v>
                </c:pt>
                <c:pt idx="10">
                  <c:v>3.2201178252746177</c:v>
                </c:pt>
                <c:pt idx="11">
                  <c:v>3.5421296078020794</c:v>
                </c:pt>
                <c:pt idx="12">
                  <c:v>3.8641413903295412</c:v>
                </c:pt>
                <c:pt idx="13">
                  <c:v>4.1861531728570025</c:v>
                </c:pt>
                <c:pt idx="14">
                  <c:v>4.5081649553844638</c:v>
                </c:pt>
                <c:pt idx="15">
                  <c:v>4.8301767379119251</c:v>
                </c:pt>
                <c:pt idx="16">
                  <c:v>5.1521885204393865</c:v>
                </c:pt>
                <c:pt idx="17">
                  <c:v>5.4742003029668478</c:v>
                </c:pt>
                <c:pt idx="18">
                  <c:v>5.7962120854943091</c:v>
                </c:pt>
                <c:pt idx="19">
                  <c:v>6.1182238680217704</c:v>
                </c:pt>
                <c:pt idx="20">
                  <c:v>6.4402356505492317</c:v>
                </c:pt>
                <c:pt idx="21">
                  <c:v>6.7622474330766931</c:v>
                </c:pt>
                <c:pt idx="22">
                  <c:v>7.0842592156041544</c:v>
                </c:pt>
                <c:pt idx="23">
                  <c:v>7.4062709981316157</c:v>
                </c:pt>
                <c:pt idx="24">
                  <c:v>7.728282780659077</c:v>
                </c:pt>
                <c:pt idx="25">
                  <c:v>8.0502945631865384</c:v>
                </c:pt>
                <c:pt idx="26">
                  <c:v>8.3723063457139997</c:v>
                </c:pt>
                <c:pt idx="27">
                  <c:v>8.694318128241461</c:v>
                </c:pt>
                <c:pt idx="28">
                  <c:v>9.0163299107689223</c:v>
                </c:pt>
                <c:pt idx="29">
                  <c:v>9.3383416932963907</c:v>
                </c:pt>
              </c:numCache>
            </c:numRef>
          </c:yVal>
          <c:smooth val="0"/>
          <c:extLst>
            <c:ext xmlns:c16="http://schemas.microsoft.com/office/drawing/2014/chart" uri="{C3380CC4-5D6E-409C-BE32-E72D297353CC}">
              <c16:uniqueId val="{00000001-7B2D-4B8C-B052-5325F98D0976}"/>
            </c:ext>
          </c:extLst>
        </c:ser>
        <c:ser>
          <c:idx val="2"/>
          <c:order val="2"/>
          <c:tx>
            <c:v>σz</c:v>
          </c:tx>
          <c:marker>
            <c:symbol val="triangle"/>
            <c:size val="4"/>
          </c:marker>
          <c:xVal>
            <c:numRef>
              <c:f>'Contact Ponctuel'!$Q$103:$Q$132</c:f>
              <c:numCache>
                <c:formatCode>0.00</c:formatCode>
                <c:ptCount val="30"/>
                <c:pt idx="0">
                  <c:v>-479.08207028459697</c:v>
                </c:pt>
                <c:pt idx="1">
                  <c:v>-465.25175647730498</c:v>
                </c:pt>
                <c:pt idx="2">
                  <c:v>-428.170054313864</c:v>
                </c:pt>
                <c:pt idx="3">
                  <c:v>-377.96249635023077</c:v>
                </c:pt>
                <c:pt idx="4">
                  <c:v>-324.66399767070595</c:v>
                </c:pt>
                <c:pt idx="5">
                  <c:v>-274.83493936517471</c:v>
                </c:pt>
                <c:pt idx="6">
                  <c:v>-231.42333205591385</c:v>
                </c:pt>
                <c:pt idx="7">
                  <c:v>-195.01840324750538</c:v>
                </c:pt>
                <c:pt idx="8">
                  <c:v>-165.0585911959632</c:v>
                </c:pt>
                <c:pt idx="9">
                  <c:v>-140.58200317841801</c:v>
                </c:pt>
                <c:pt idx="10">
                  <c:v>-120.59503774598807</c:v>
                </c:pt>
                <c:pt idx="11">
                  <c:v>-104.21831896258304</c:v>
                </c:pt>
                <c:pt idx="12">
                  <c:v>-90.724616327256484</c:v>
                </c:pt>
                <c:pt idx="13">
                  <c:v>-79.53178466430046</c:v>
                </c:pt>
                <c:pt idx="14">
                  <c:v>-70.180808414796417</c:v>
                </c:pt>
                <c:pt idx="15">
                  <c:v>-62.311787984742693</c:v>
                </c:pt>
                <c:pt idx="16">
                  <c:v>-55.642593717628273</c:v>
                </c:pt>
                <c:pt idx="17">
                  <c:v>-49.95140355930404</c:v>
                </c:pt>
                <c:pt idx="18">
                  <c:v>-45.062970709019837</c:v>
                </c:pt>
                <c:pt idx="19">
                  <c:v>-40.838031736199717</c:v>
                </c:pt>
                <c:pt idx="20">
                  <c:v>-37.165208108970248</c:v>
                </c:pt>
                <c:pt idx="21">
                  <c:v>-33.954830701950662</c:v>
                </c:pt>
                <c:pt idx="22">
                  <c:v>-31.134226188806625</c:v>
                </c:pt>
                <c:pt idx="23">
                  <c:v>-28.644107856487029</c:v>
                </c:pt>
                <c:pt idx="24">
                  <c:v>-26.435799561009556</c:v>
                </c:pt>
                <c:pt idx="25">
                  <c:v>-24.46908909931657</c:v>
                </c:pt>
                <c:pt idx="26">
                  <c:v>-22.710558655619561</c:v>
                </c:pt>
                <c:pt idx="27">
                  <c:v>-21.132278459527257</c:v>
                </c:pt>
                <c:pt idx="28">
                  <c:v>-19.710778391925373</c:v>
                </c:pt>
                <c:pt idx="29">
                  <c:v>-18.426233472484501</c:v>
                </c:pt>
              </c:numCache>
            </c:numRef>
          </c:xVal>
          <c:yVal>
            <c:numRef>
              <c:f>'Contact Ponctuel'!$U$103:$U$132</c:f>
              <c:numCache>
                <c:formatCode>0.000</c:formatCode>
                <c:ptCount val="30"/>
                <c:pt idx="0">
                  <c:v>0</c:v>
                </c:pt>
                <c:pt idx="1">
                  <c:v>0.32201178252746177</c:v>
                </c:pt>
                <c:pt idx="2">
                  <c:v>0.64402356505492353</c:v>
                </c:pt>
                <c:pt idx="3">
                  <c:v>0.9660353475823853</c:v>
                </c:pt>
                <c:pt idx="4">
                  <c:v>1.2880471301098471</c:v>
                </c:pt>
                <c:pt idx="5">
                  <c:v>1.6100589126373088</c:v>
                </c:pt>
                <c:pt idx="6">
                  <c:v>1.9320706951647706</c:v>
                </c:pt>
                <c:pt idx="7">
                  <c:v>2.2540824776922324</c:v>
                </c:pt>
                <c:pt idx="8">
                  <c:v>2.5760942602196941</c:v>
                </c:pt>
                <c:pt idx="9">
                  <c:v>2.8981060427471559</c:v>
                </c:pt>
                <c:pt idx="10">
                  <c:v>3.2201178252746177</c:v>
                </c:pt>
                <c:pt idx="11">
                  <c:v>3.5421296078020794</c:v>
                </c:pt>
                <c:pt idx="12">
                  <c:v>3.8641413903295412</c:v>
                </c:pt>
                <c:pt idx="13">
                  <c:v>4.1861531728570025</c:v>
                </c:pt>
                <c:pt idx="14">
                  <c:v>4.5081649553844638</c:v>
                </c:pt>
                <c:pt idx="15">
                  <c:v>4.8301767379119251</c:v>
                </c:pt>
                <c:pt idx="16">
                  <c:v>5.1521885204393865</c:v>
                </c:pt>
                <c:pt idx="17">
                  <c:v>5.4742003029668478</c:v>
                </c:pt>
                <c:pt idx="18">
                  <c:v>5.7962120854943091</c:v>
                </c:pt>
                <c:pt idx="19">
                  <c:v>6.1182238680217704</c:v>
                </c:pt>
                <c:pt idx="20">
                  <c:v>6.4402356505492317</c:v>
                </c:pt>
                <c:pt idx="21">
                  <c:v>6.7622474330766931</c:v>
                </c:pt>
                <c:pt idx="22">
                  <c:v>7.0842592156041544</c:v>
                </c:pt>
                <c:pt idx="23">
                  <c:v>7.4062709981316157</c:v>
                </c:pt>
                <c:pt idx="24">
                  <c:v>7.728282780659077</c:v>
                </c:pt>
                <c:pt idx="25">
                  <c:v>8.0502945631865384</c:v>
                </c:pt>
                <c:pt idx="26">
                  <c:v>8.3723063457139997</c:v>
                </c:pt>
                <c:pt idx="27">
                  <c:v>8.694318128241461</c:v>
                </c:pt>
                <c:pt idx="28">
                  <c:v>9.0163299107689223</c:v>
                </c:pt>
                <c:pt idx="29">
                  <c:v>9.3383416932963907</c:v>
                </c:pt>
              </c:numCache>
            </c:numRef>
          </c:yVal>
          <c:smooth val="0"/>
          <c:extLst>
            <c:ext xmlns:c16="http://schemas.microsoft.com/office/drawing/2014/chart" uri="{C3380CC4-5D6E-409C-BE32-E72D297353CC}">
              <c16:uniqueId val="{00000002-7B2D-4B8C-B052-5325F98D0976}"/>
            </c:ext>
          </c:extLst>
        </c:ser>
        <c:ser>
          <c:idx val="3"/>
          <c:order val="3"/>
          <c:tx>
            <c:v>τ</c:v>
          </c:tx>
          <c:marker>
            <c:symbol val="x"/>
            <c:size val="4"/>
          </c:marker>
          <c:xVal>
            <c:numRef>
              <c:f>'Contact Ponctuel'!$S$103:$S$132</c:f>
              <c:numCache>
                <c:formatCode>0.00</c:formatCode>
                <c:ptCount val="30"/>
                <c:pt idx="0">
                  <c:v>-47.908207028459685</c:v>
                </c:pt>
                <c:pt idx="1">
                  <c:v>-112.70507778919473</c:v>
                </c:pt>
                <c:pt idx="2">
                  <c:v>-142.74033380709631</c:v>
                </c:pt>
                <c:pt idx="3">
                  <c:v>-148.19143128553642</c:v>
                </c:pt>
                <c:pt idx="4">
                  <c:v>-139.77856234637082</c:v>
                </c:pt>
                <c:pt idx="5">
                  <c:v>-125.4129273563251</c:v>
                </c:pt>
                <c:pt idx="6">
                  <c:v>-109.71391021280917</c:v>
                </c:pt>
                <c:pt idx="7">
                  <c:v>-94.906393588767671</c:v>
                </c:pt>
                <c:pt idx="8">
                  <c:v>-81.83317681581083</c:v>
                </c:pt>
                <c:pt idx="9">
                  <c:v>-70.652658705432103</c:v>
                </c:pt>
                <c:pt idx="10">
                  <c:v>-61.230090813777942</c:v>
                </c:pt>
                <c:pt idx="11">
                  <c:v>-53.331841454788353</c:v>
                </c:pt>
                <c:pt idx="12">
                  <c:v>-46.712717226534309</c:v>
                </c:pt>
                <c:pt idx="13">
                  <c:v>-41.150470804615452</c:v>
                </c:pt>
                <c:pt idx="14">
                  <c:v>-36.456018326272641</c:v>
                </c:pt>
                <c:pt idx="15">
                  <c:v>-32.473349900772369</c:v>
                </c:pt>
                <c:pt idx="16">
                  <c:v>-29.075643844516375</c:v>
                </c:pt>
                <c:pt idx="17">
                  <c:v>-26.160457142085466</c:v>
                </c:pt>
                <c:pt idx="18">
                  <c:v>-23.64515856526576</c:v>
                </c:pt>
                <c:pt idx="19">
                  <c:v>-21.462999857655355</c:v>
                </c:pt>
                <c:pt idx="20">
                  <c:v>-19.559889877621735</c:v>
                </c:pt>
                <c:pt idx="21">
                  <c:v>-17.891808367161449</c:v>
                </c:pt>
                <c:pt idx="22">
                  <c:v>-16.422757487930539</c:v>
                </c:pt>
                <c:pt idx="23">
                  <c:v>-15.123148147573923</c:v>
                </c:pt>
                <c:pt idx="24">
                  <c:v>-13.968530708321785</c:v>
                </c:pt>
                <c:pt idx="25">
                  <c:v>-12.93859558444545</c:v>
                </c:pt>
                <c:pt idx="26">
                  <c:v>-12.016384323127831</c:v>
                </c:pt>
                <c:pt idx="27">
                  <c:v>-11.187664622066674</c:v>
                </c:pt>
                <c:pt idx="28">
                  <c:v>-10.440433148088502</c:v>
                </c:pt>
                <c:pt idx="29">
                  <c:v>-9.7645182224461795</c:v>
                </c:pt>
              </c:numCache>
            </c:numRef>
          </c:xVal>
          <c:yVal>
            <c:numRef>
              <c:f>'Contact Ponctuel'!$U$103:$U$132</c:f>
              <c:numCache>
                <c:formatCode>0.000</c:formatCode>
                <c:ptCount val="30"/>
                <c:pt idx="0">
                  <c:v>0</c:v>
                </c:pt>
                <c:pt idx="1">
                  <c:v>0.32201178252746177</c:v>
                </c:pt>
                <c:pt idx="2">
                  <c:v>0.64402356505492353</c:v>
                </c:pt>
                <c:pt idx="3">
                  <c:v>0.9660353475823853</c:v>
                </c:pt>
                <c:pt idx="4">
                  <c:v>1.2880471301098471</c:v>
                </c:pt>
                <c:pt idx="5">
                  <c:v>1.6100589126373088</c:v>
                </c:pt>
                <c:pt idx="6">
                  <c:v>1.9320706951647706</c:v>
                </c:pt>
                <c:pt idx="7">
                  <c:v>2.2540824776922324</c:v>
                </c:pt>
                <c:pt idx="8">
                  <c:v>2.5760942602196941</c:v>
                </c:pt>
                <c:pt idx="9">
                  <c:v>2.8981060427471559</c:v>
                </c:pt>
                <c:pt idx="10">
                  <c:v>3.2201178252746177</c:v>
                </c:pt>
                <c:pt idx="11">
                  <c:v>3.5421296078020794</c:v>
                </c:pt>
                <c:pt idx="12">
                  <c:v>3.8641413903295412</c:v>
                </c:pt>
                <c:pt idx="13">
                  <c:v>4.1861531728570025</c:v>
                </c:pt>
                <c:pt idx="14">
                  <c:v>4.5081649553844638</c:v>
                </c:pt>
                <c:pt idx="15">
                  <c:v>4.8301767379119251</c:v>
                </c:pt>
                <c:pt idx="16">
                  <c:v>5.1521885204393865</c:v>
                </c:pt>
                <c:pt idx="17">
                  <c:v>5.4742003029668478</c:v>
                </c:pt>
                <c:pt idx="18">
                  <c:v>5.7962120854943091</c:v>
                </c:pt>
                <c:pt idx="19">
                  <c:v>6.1182238680217704</c:v>
                </c:pt>
                <c:pt idx="20">
                  <c:v>6.4402356505492317</c:v>
                </c:pt>
                <c:pt idx="21">
                  <c:v>6.7622474330766931</c:v>
                </c:pt>
                <c:pt idx="22">
                  <c:v>7.0842592156041544</c:v>
                </c:pt>
                <c:pt idx="23">
                  <c:v>7.4062709981316157</c:v>
                </c:pt>
                <c:pt idx="24">
                  <c:v>7.728282780659077</c:v>
                </c:pt>
                <c:pt idx="25">
                  <c:v>8.0502945631865384</c:v>
                </c:pt>
                <c:pt idx="26">
                  <c:v>8.3723063457139997</c:v>
                </c:pt>
                <c:pt idx="27">
                  <c:v>8.694318128241461</c:v>
                </c:pt>
                <c:pt idx="28">
                  <c:v>9.0163299107689223</c:v>
                </c:pt>
                <c:pt idx="29">
                  <c:v>9.3383416932963907</c:v>
                </c:pt>
              </c:numCache>
            </c:numRef>
          </c:yVal>
          <c:smooth val="0"/>
          <c:extLst>
            <c:ext xmlns:c16="http://schemas.microsoft.com/office/drawing/2014/chart" uri="{C3380CC4-5D6E-409C-BE32-E72D297353CC}">
              <c16:uniqueId val="{00000003-7B2D-4B8C-B052-5325F98D0976}"/>
            </c:ext>
          </c:extLst>
        </c:ser>
        <c:dLbls>
          <c:showLegendKey val="0"/>
          <c:showVal val="0"/>
          <c:showCatName val="0"/>
          <c:showSerName val="0"/>
          <c:showPercent val="0"/>
          <c:showBubbleSize val="0"/>
        </c:dLbls>
        <c:axId val="140632448"/>
        <c:axId val="140634368"/>
      </c:scatterChart>
      <c:valAx>
        <c:axId val="140632448"/>
        <c:scaling>
          <c:orientation val="minMax"/>
        </c:scaling>
        <c:delete val="0"/>
        <c:axPos val="t"/>
        <c:title>
          <c:tx>
            <c:rich>
              <a:bodyPr/>
              <a:lstStyle/>
              <a:p>
                <a:pPr>
                  <a:defRPr sz="1000" b="1" i="0" u="none" strike="noStrike" baseline="0">
                    <a:solidFill>
                      <a:srgbClr val="000000"/>
                    </a:solidFill>
                    <a:latin typeface="Calibri"/>
                    <a:ea typeface="Calibri"/>
                    <a:cs typeface="Calibri"/>
                  </a:defRPr>
                </a:pPr>
                <a:r>
                  <a:rPr lang="el-GR"/>
                  <a:t>σ [</a:t>
                </a:r>
                <a:r>
                  <a:rPr lang="fr-FR"/>
                  <a:t>MPa]</a:t>
                </a:r>
              </a:p>
            </c:rich>
          </c:tx>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0634368"/>
        <c:crosses val="autoZero"/>
        <c:crossBetween val="midCat"/>
      </c:valAx>
      <c:valAx>
        <c:axId val="140634368"/>
        <c:scaling>
          <c:orientation val="maxMin"/>
        </c:scaling>
        <c:delete val="0"/>
        <c:axPos val="l"/>
        <c:majorGridlines/>
        <c:title>
          <c:tx>
            <c:rich>
              <a:bodyPr/>
              <a:lstStyle/>
              <a:p>
                <a:pPr>
                  <a:defRPr sz="1000" b="1" i="0" u="none" strike="noStrike" baseline="0">
                    <a:solidFill>
                      <a:srgbClr val="000000"/>
                    </a:solidFill>
                    <a:latin typeface="Calibri"/>
                    <a:ea typeface="Calibri"/>
                    <a:cs typeface="Calibri"/>
                  </a:defRPr>
                </a:pPr>
                <a:r>
                  <a:rPr lang="fr-FR"/>
                  <a:t>profondeur z [mm]</a:t>
                </a:r>
              </a:p>
            </c:rich>
          </c:tx>
          <c:overlay val="0"/>
        </c:title>
        <c:numFmt formatCode="General" sourceLinked="0"/>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fr-FR"/>
          </a:p>
        </c:txPr>
        <c:crossAx val="140632448"/>
        <c:crosses val="autoZero"/>
        <c:crossBetween val="midCat"/>
      </c:valAx>
    </c:plotArea>
    <c:legend>
      <c:legendPos val="r"/>
      <c:layout>
        <c:manualLayout>
          <c:xMode val="edge"/>
          <c:yMode val="edge"/>
          <c:x val="0.13722044003758788"/>
          <c:y val="0.66044883924393172"/>
          <c:w val="0.11321495306913798"/>
          <c:h val="0.21770263213222374"/>
        </c:manualLayout>
      </c:layout>
      <c:overlay val="0"/>
      <c:spPr>
        <a:solidFill>
          <a:schemeClr val="bg1"/>
        </a:solidFill>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layout/>
      <c:overlay val="0"/>
      <c:txPr>
        <a:bodyPr/>
        <a:lstStyle/>
        <a:p>
          <a:pPr algn="ctr" rtl="0">
            <a:defRPr lang="en-US" sz="1600" b="1" i="0" u="none" strike="noStrike" kern="1200" baseline="0">
              <a:solidFill>
                <a:srgbClr val="000000"/>
              </a:solidFill>
              <a:latin typeface="Calibri"/>
              <a:ea typeface="Calibri"/>
              <a:cs typeface="Calibri"/>
            </a:defRPr>
          </a:pPr>
          <a:endParaRPr lang="fr-FR"/>
        </a:p>
      </c:txPr>
    </c:title>
    <c:autoTitleDeleted val="0"/>
    <c:plotArea>
      <c:layout>
        <c:manualLayout>
          <c:layoutTarget val="inner"/>
          <c:xMode val="edge"/>
          <c:yMode val="edge"/>
          <c:x val="0.16291907261592301"/>
          <c:y val="0.23302414010317646"/>
          <c:w val="0.79687817147856532"/>
          <c:h val="0.63199627146250847"/>
        </c:manualLayout>
      </c:layout>
      <c:scatterChart>
        <c:scatterStyle val="lineMarker"/>
        <c:varyColors val="0"/>
        <c:ser>
          <c:idx val="0"/>
          <c:order val="0"/>
          <c:tx>
            <c:v>Pression de contact en fonction de la distance à l'axe de symétrie</c:v>
          </c:tx>
          <c:marker>
            <c:symbol val="diamond"/>
            <c:size val="3"/>
          </c:marker>
          <c:xVal>
            <c:numRef>
              <c:f>'Contact Linéaire'!$E$113:$E$142</c:f>
              <c:numCache>
                <c:formatCode>0.000</c:formatCode>
                <c:ptCount val="30"/>
                <c:pt idx="0">
                  <c:v>0</c:v>
                </c:pt>
                <c:pt idx="1">
                  <c:v>8.4992267109972094E-3</c:v>
                </c:pt>
                <c:pt idx="2">
                  <c:v>1.6998453421994419E-2</c:v>
                </c:pt>
                <c:pt idx="3">
                  <c:v>2.5497680132991626E-2</c:v>
                </c:pt>
                <c:pt idx="4">
                  <c:v>3.3996906843988837E-2</c:v>
                </c:pt>
                <c:pt idx="5">
                  <c:v>4.2496133554986049E-2</c:v>
                </c:pt>
                <c:pt idx="6">
                  <c:v>5.099536026598326E-2</c:v>
                </c:pt>
                <c:pt idx="7">
                  <c:v>5.9494586976980471E-2</c:v>
                </c:pt>
                <c:pt idx="8">
                  <c:v>6.7993813687977675E-2</c:v>
                </c:pt>
                <c:pt idx="9">
                  <c:v>7.6493040398974879E-2</c:v>
                </c:pt>
                <c:pt idx="10">
                  <c:v>8.4992267109972083E-2</c:v>
                </c:pt>
                <c:pt idx="11">
                  <c:v>9.3491493820969288E-2</c:v>
                </c:pt>
                <c:pt idx="12">
                  <c:v>0.10199072053196649</c:v>
                </c:pt>
                <c:pt idx="13">
                  <c:v>0.1104899472429637</c:v>
                </c:pt>
                <c:pt idx="14">
                  <c:v>0.1189891739539609</c:v>
                </c:pt>
                <c:pt idx="15">
                  <c:v>0.12748840066495812</c:v>
                </c:pt>
                <c:pt idx="16">
                  <c:v>0.13598762737595532</c:v>
                </c:pt>
                <c:pt idx="17">
                  <c:v>0.14448685408695253</c:v>
                </c:pt>
                <c:pt idx="18">
                  <c:v>0.15298608079794973</c:v>
                </c:pt>
                <c:pt idx="19">
                  <c:v>0.16148530750894693</c:v>
                </c:pt>
                <c:pt idx="20">
                  <c:v>0.16998453421994414</c:v>
                </c:pt>
                <c:pt idx="21">
                  <c:v>0.17848376093094134</c:v>
                </c:pt>
                <c:pt idx="22">
                  <c:v>0.18698298764193855</c:v>
                </c:pt>
                <c:pt idx="23">
                  <c:v>0.19548221435293575</c:v>
                </c:pt>
                <c:pt idx="24">
                  <c:v>0.20398144106393296</c:v>
                </c:pt>
                <c:pt idx="25">
                  <c:v>0.21248066777493016</c:v>
                </c:pt>
                <c:pt idx="26">
                  <c:v>0.22097989448592736</c:v>
                </c:pt>
                <c:pt idx="27">
                  <c:v>0.22947912119692457</c:v>
                </c:pt>
                <c:pt idx="28">
                  <c:v>0.23797834790792177</c:v>
                </c:pt>
                <c:pt idx="29">
                  <c:v>0.24647757461891909</c:v>
                </c:pt>
              </c:numCache>
            </c:numRef>
          </c:xVal>
          <c:yVal>
            <c:numRef>
              <c:f>'Contact Linéaire'!$D$113:$D$142</c:f>
              <c:numCache>
                <c:formatCode>0.00</c:formatCode>
                <c:ptCount val="30"/>
                <c:pt idx="0">
                  <c:v>67.154645233540904</c:v>
                </c:pt>
                <c:pt idx="1">
                  <c:v>67.087137252937524</c:v>
                </c:pt>
                <c:pt idx="2">
                  <c:v>66.884204486931665</c:v>
                </c:pt>
                <c:pt idx="3">
                  <c:v>66.544607982979215</c:v>
                </c:pt>
                <c:pt idx="4">
                  <c:v>66.066240320382605</c:v>
                </c:pt>
                <c:pt idx="5">
                  <c:v>65.446058592066422</c:v>
                </c:pt>
                <c:pt idx="6">
                  <c:v>64.679983589247385</c:v>
                </c:pt>
                <c:pt idx="7">
                  <c:v>63.762757042633488</c:v>
                </c:pt>
                <c:pt idx="8">
                  <c:v>62.687744503642648</c:v>
                </c:pt>
                <c:pt idx="9">
                  <c:v>61.446665108315905</c:v>
                </c:pt>
                <c:pt idx="10">
                  <c:v>60.029219648572408</c:v>
                </c:pt>
                <c:pt idx="11">
                  <c:v>58.422572581178358</c:v>
                </c:pt>
                <c:pt idx="12">
                  <c:v>56.610617194065554</c:v>
                </c:pt>
                <c:pt idx="13">
                  <c:v>54.572907086634885</c:v>
                </c:pt>
                <c:pt idx="14">
                  <c:v>52.283052831519072</c:v>
                </c:pt>
                <c:pt idx="15">
                  <c:v>49.706219485933744</c:v>
                </c:pt>
                <c:pt idx="16">
                  <c:v>46.795022325966492</c:v>
                </c:pt>
                <c:pt idx="17">
                  <c:v>43.482354928120678</c:v>
                </c:pt>
                <c:pt idx="18">
                  <c:v>39.667763768655973</c:v>
                </c:pt>
                <c:pt idx="19">
                  <c:v>35.188392850771216</c:v>
                </c:pt>
                <c:pt idx="20">
                  <c:v>29.745415060778615</c:v>
                </c:pt>
                <c:pt idx="21">
                  <c:v>22.654616738299925</c:v>
                </c:pt>
                <c:pt idx="22">
                  <c:v>11.115251624862088</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BB53-4092-B71E-1AAE9BD58ED3}"/>
            </c:ext>
          </c:extLst>
        </c:ser>
        <c:dLbls>
          <c:showLegendKey val="0"/>
          <c:showVal val="0"/>
          <c:showCatName val="0"/>
          <c:showSerName val="0"/>
          <c:showPercent val="0"/>
          <c:showBubbleSize val="0"/>
        </c:dLbls>
        <c:axId val="140962048"/>
        <c:axId val="140964224"/>
      </c:scatterChart>
      <c:valAx>
        <c:axId val="14096204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fr-FR"/>
                  <a:t>Distance à l'axe de symétrie [mm]</a:t>
                </a:r>
              </a:p>
            </c:rich>
          </c:tx>
          <c:layout/>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0964224"/>
        <c:crosses val="autoZero"/>
        <c:crossBetween val="midCat"/>
      </c:valAx>
      <c:valAx>
        <c:axId val="140964224"/>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fr-FR"/>
                  <a:t>Pression de contact [Mpa]</a:t>
                </a:r>
              </a:p>
            </c:rich>
          </c:tx>
          <c:layout/>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0962048"/>
        <c:crosses val="autoZero"/>
        <c:crossBetween val="midCat"/>
      </c:valAx>
    </c:plotArea>
    <c:legend>
      <c:legendPos val="r"/>
      <c:layout>
        <c:manualLayout>
          <c:xMode val="edge"/>
          <c:yMode val="edge"/>
          <c:x val="0.64405409154722471"/>
          <c:y val="0.25389015889142891"/>
          <c:w val="0.305414814691504"/>
          <c:h val="0.20059012784692237"/>
        </c:manualLayout>
      </c:layout>
      <c:overlay val="0"/>
      <c:spPr>
        <a:solidFill>
          <a:sysClr val="window" lastClr="FFFFFF"/>
        </a:solidFill>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600" b="1" i="0" u="none" strike="noStrike" baseline="0">
                <a:solidFill>
                  <a:srgbClr val="000000"/>
                </a:solidFill>
                <a:latin typeface="Calibri"/>
              </a:rPr>
              <a:t>Répartition des contraintes en fonction de la profondeur z (solide n</a:t>
            </a:r>
            <a:r>
              <a:rPr lang="fr-FR" sz="1600" b="1" i="0" u="none" strike="noStrike" baseline="0">
                <a:solidFill>
                  <a:srgbClr val="000000"/>
                </a:solidFill>
                <a:latin typeface="+mn-ea"/>
                <a:ea typeface="+mn-ea"/>
                <a:cs typeface="+mn-ea"/>
              </a:rPr>
              <a:t>°</a:t>
            </a:r>
            <a:r>
              <a:rPr lang="fr-FR" sz="1600" b="1" i="0" u="none" strike="noStrike" baseline="0">
                <a:solidFill>
                  <a:srgbClr val="000000"/>
                </a:solidFill>
                <a:latin typeface="Calibri"/>
                <a:ea typeface="+mn-ea"/>
                <a:cs typeface="+mn-ea"/>
              </a:rPr>
              <a:t>2)</a:t>
            </a:r>
            <a:endParaRPr lang="fr-FR" sz="1600" b="1" i="0" u="none" strike="noStrike" baseline="0">
              <a:solidFill>
                <a:srgbClr val="000000"/>
              </a:solidFill>
              <a:latin typeface="Calibri"/>
            </a:endParaRPr>
          </a:p>
        </c:rich>
      </c:tx>
      <c:layout/>
      <c:overlay val="0"/>
    </c:title>
    <c:autoTitleDeleted val="0"/>
    <c:plotArea>
      <c:layout>
        <c:manualLayout>
          <c:layoutTarget val="inner"/>
          <c:xMode val="edge"/>
          <c:yMode val="edge"/>
          <c:x val="8.3068020111943836E-2"/>
          <c:y val="0.29071139622343967"/>
          <c:w val="0.79217893021992947"/>
          <c:h val="0.62887939737847487"/>
        </c:manualLayout>
      </c:layout>
      <c:scatterChart>
        <c:scatterStyle val="lineMarker"/>
        <c:varyColors val="0"/>
        <c:ser>
          <c:idx val="0"/>
          <c:order val="0"/>
          <c:tx>
            <c:v>σy(z)</c:v>
          </c:tx>
          <c:marker>
            <c:symbol val="diamond"/>
            <c:size val="3"/>
          </c:marker>
          <c:xVal>
            <c:numRef>
              <c:f>'Contact Linéaire'!$F$113:$F$142</c:f>
              <c:numCache>
                <c:formatCode>0.00</c:formatCode>
                <c:ptCount val="30"/>
                <c:pt idx="0">
                  <c:v>-67.15464523354089</c:v>
                </c:pt>
                <c:pt idx="1">
                  <c:v>-4.2531829249172803</c:v>
                </c:pt>
                <c:pt idx="2">
                  <c:v>-0.72820697814067814</c:v>
                </c:pt>
                <c:pt idx="3">
                  <c:v>-0.23114441743583192</c:v>
                </c:pt>
                <c:pt idx="4">
                  <c:v>-9.9993131878497815E-2</c:v>
                </c:pt>
                <c:pt idx="5">
                  <c:v>-5.1804628264589127E-2</c:v>
                </c:pt>
                <c:pt idx="6">
                  <c:v>-3.0174004646353506E-2</c:v>
                </c:pt>
                <c:pt idx="7">
                  <c:v>-1.9076271486635966E-2</c:v>
                </c:pt>
                <c:pt idx="8">
                  <c:v>-1.2812230215995892E-2</c:v>
                </c:pt>
                <c:pt idx="9">
                  <c:v>-9.0142086174336278E-3</c:v>
                </c:pt>
                <c:pt idx="10">
                  <c:v>-6.5796044461184236E-3</c:v>
                </c:pt>
                <c:pt idx="11">
                  <c:v>-4.9479476472136293E-3</c:v>
                </c:pt>
                <c:pt idx="12">
                  <c:v>-3.8138747421318543E-3</c:v>
                </c:pt>
                <c:pt idx="13">
                  <c:v>-3.0013674343379788E-3</c:v>
                </c:pt>
                <c:pt idx="14">
                  <c:v>-2.4041130396557919E-3</c:v>
                </c:pt>
                <c:pt idx="15">
                  <c:v>-1.9553223390751618E-3</c:v>
                </c:pt>
                <c:pt idx="16">
                  <c:v>-1.6116011435686345E-3</c:v>
                </c:pt>
                <c:pt idx="17">
                  <c:v>-1.3439239174007486E-3</c:v>
                </c:pt>
                <c:pt idx="18">
                  <c:v>-1.1323770134409928E-3</c:v>
                </c:pt>
                <c:pt idx="19">
                  <c:v>-9.6298936967047959E-4</c:v>
                </c:pt>
                <c:pt idx="20">
                  <c:v>-8.2576271932263527E-4</c:v>
                </c:pt>
                <c:pt idx="21">
                  <c:v>-7.1341389769232237E-4</c:v>
                </c:pt>
                <c:pt idx="22">
                  <c:v>-6.2055228948844007E-4</c:v>
                </c:pt>
                <c:pt idx="23">
                  <c:v>-5.4313013831837559E-4</c:v>
                </c:pt>
                <c:pt idx="24">
                  <c:v>-4.7806798195270967E-4</c:v>
                </c:pt>
                <c:pt idx="25">
                  <c:v>-4.2299487225709906E-4</c:v>
                </c:pt>
                <c:pt idx="26">
                  <c:v>-3.76065280397688E-4</c:v>
                </c:pt>
                <c:pt idx="27">
                  <c:v>-3.3582813488325586E-4</c:v>
                </c:pt>
                <c:pt idx="28">
                  <c:v>-3.0113187187595631E-4</c:v>
                </c:pt>
                <c:pt idx="29">
                  <c:v>-2.7105473040441762E-4</c:v>
                </c:pt>
              </c:numCache>
            </c:numRef>
          </c:xVal>
          <c:yVal>
            <c:numRef>
              <c:f>'Contact Linéaire'!$N$113:$N$142</c:f>
              <c:numCache>
                <c:formatCode>0.000</c:formatCode>
                <c:ptCount val="30"/>
                <c:pt idx="0">
                  <c:v>0</c:v>
                </c:pt>
                <c:pt idx="1">
                  <c:v>0.25862068965517243</c:v>
                </c:pt>
                <c:pt idx="2">
                  <c:v>0.51724137931034486</c:v>
                </c:pt>
                <c:pt idx="3">
                  <c:v>0.77586206896551735</c:v>
                </c:pt>
                <c:pt idx="4">
                  <c:v>1.0344827586206897</c:v>
                </c:pt>
                <c:pt idx="5">
                  <c:v>1.2931034482758621</c:v>
                </c:pt>
                <c:pt idx="6">
                  <c:v>1.5517241379310345</c:v>
                </c:pt>
                <c:pt idx="7">
                  <c:v>1.8103448275862069</c:v>
                </c:pt>
                <c:pt idx="8">
                  <c:v>2.0689655172413794</c:v>
                </c:pt>
                <c:pt idx="9">
                  <c:v>2.327586206896552</c:v>
                </c:pt>
                <c:pt idx="10">
                  <c:v>2.5862068965517246</c:v>
                </c:pt>
                <c:pt idx="11">
                  <c:v>2.8448275862068972</c:v>
                </c:pt>
                <c:pt idx="12">
                  <c:v>3.1034482758620698</c:v>
                </c:pt>
                <c:pt idx="13">
                  <c:v>3.3620689655172424</c:v>
                </c:pt>
                <c:pt idx="14">
                  <c:v>3.620689655172415</c:v>
                </c:pt>
                <c:pt idx="15">
                  <c:v>3.8793103448275876</c:v>
                </c:pt>
                <c:pt idx="16">
                  <c:v>4.1379310344827598</c:v>
                </c:pt>
                <c:pt idx="17">
                  <c:v>4.3965517241379324</c:v>
                </c:pt>
                <c:pt idx="18">
                  <c:v>4.655172413793105</c:v>
                </c:pt>
                <c:pt idx="19">
                  <c:v>4.9137931034482776</c:v>
                </c:pt>
                <c:pt idx="20">
                  <c:v>5.1724137931034502</c:v>
                </c:pt>
                <c:pt idx="21">
                  <c:v>5.4310344827586228</c:v>
                </c:pt>
                <c:pt idx="22">
                  <c:v>5.6896551724137954</c:v>
                </c:pt>
                <c:pt idx="23">
                  <c:v>5.948275862068968</c:v>
                </c:pt>
                <c:pt idx="24">
                  <c:v>6.2068965517241406</c:v>
                </c:pt>
                <c:pt idx="25">
                  <c:v>6.4655172413793132</c:v>
                </c:pt>
                <c:pt idx="26">
                  <c:v>6.7241379310344858</c:v>
                </c:pt>
                <c:pt idx="27">
                  <c:v>6.9827586206896584</c:v>
                </c:pt>
                <c:pt idx="28">
                  <c:v>7.241379310344831</c:v>
                </c:pt>
                <c:pt idx="29">
                  <c:v>7.5</c:v>
                </c:pt>
              </c:numCache>
            </c:numRef>
          </c:yVal>
          <c:smooth val="0"/>
          <c:extLst>
            <c:ext xmlns:c16="http://schemas.microsoft.com/office/drawing/2014/chart" uri="{C3380CC4-5D6E-409C-BE32-E72D297353CC}">
              <c16:uniqueId val="{00000000-BD76-43EE-A51E-4DC7F9C21567}"/>
            </c:ext>
          </c:extLst>
        </c:ser>
        <c:ser>
          <c:idx val="1"/>
          <c:order val="1"/>
          <c:tx>
            <c:v>σx(z)</c:v>
          </c:tx>
          <c:marker>
            <c:symbol val="square"/>
            <c:size val="3"/>
          </c:marker>
          <c:xVal>
            <c:numRef>
              <c:f>'Contact Linéaire'!$H$113:$H$142</c:f>
              <c:numCache>
                <c:formatCode>0.00</c:formatCode>
                <c:ptCount val="30"/>
                <c:pt idx="0">
                  <c:v>-37.378275536988859</c:v>
                </c:pt>
                <c:pt idx="1">
                  <c:v>-12.233575970816112</c:v>
                </c:pt>
                <c:pt idx="2">
                  <c:v>-6.6347768412338555</c:v>
                </c:pt>
                <c:pt idx="3">
                  <c:v>-4.500861583699332</c:v>
                </c:pt>
                <c:pt idx="4">
                  <c:v>-3.3970198511324612</c:v>
                </c:pt>
                <c:pt idx="5">
                  <c:v>-2.7256777956346756</c:v>
                </c:pt>
                <c:pt idx="6">
                  <c:v>-2.2750810993186295</c:v>
                </c:pt>
                <c:pt idx="7">
                  <c:v>-1.9519828745788921</c:v>
                </c:pt>
                <c:pt idx="8">
                  <c:v>-1.709075148267621</c:v>
                </c:pt>
                <c:pt idx="9">
                  <c:v>-1.5198436876593941</c:v>
                </c:pt>
                <c:pt idx="10">
                  <c:v>-1.3682885678285017</c:v>
                </c:pt>
                <c:pt idx="11">
                  <c:v>-1.244187736664025</c:v>
                </c:pt>
                <c:pt idx="12">
                  <c:v>-1.1407071079464508</c:v>
                </c:pt>
                <c:pt idx="13">
                  <c:v>-1.0531053814131384</c:v>
                </c:pt>
                <c:pt idx="14">
                  <c:v>-0.97799043709036337</c:v>
                </c:pt>
                <c:pt idx="15">
                  <c:v>-0.91287157481010528</c:v>
                </c:pt>
                <c:pt idx="16">
                  <c:v>-0.85587888698328107</c:v>
                </c:pt>
                <c:pt idx="17">
                  <c:v>-0.80558127707877281</c:v>
                </c:pt>
                <c:pt idx="18">
                  <c:v>-0.76086492366529945</c:v>
                </c:pt>
                <c:pt idx="19">
                  <c:v>-0.7208500037006631</c:v>
                </c:pt>
                <c:pt idx="20">
                  <c:v>-0.68483232880961742</c:v>
                </c:pt>
                <c:pt idx="21">
                  <c:v>-0.65224161492985355</c:v>
                </c:pt>
                <c:pt idx="22">
                  <c:v>-0.62261110708596323</c:v>
                </c:pt>
                <c:pt idx="23">
                  <c:v>-0.59555511178096021</c:v>
                </c:pt>
                <c:pt idx="24">
                  <c:v>-0.5707521357178017</c:v>
                </c:pt>
                <c:pt idx="25">
                  <c:v>-0.54793206425318508</c:v>
                </c:pt>
                <c:pt idx="26">
                  <c:v>-0.52686629398455276</c:v>
                </c:pt>
                <c:pt idx="27">
                  <c:v>-0.50736005489019542</c:v>
                </c:pt>
                <c:pt idx="28">
                  <c:v>-0.48924637550308581</c:v>
                </c:pt>
                <c:pt idx="29">
                  <c:v>-0.47238129510150645</c:v>
                </c:pt>
              </c:numCache>
            </c:numRef>
          </c:xVal>
          <c:yVal>
            <c:numRef>
              <c:f>'Contact Linéaire'!$N$113:$N$142</c:f>
              <c:numCache>
                <c:formatCode>0.000</c:formatCode>
                <c:ptCount val="30"/>
                <c:pt idx="0">
                  <c:v>0</c:v>
                </c:pt>
                <c:pt idx="1">
                  <c:v>0.25862068965517243</c:v>
                </c:pt>
                <c:pt idx="2">
                  <c:v>0.51724137931034486</c:v>
                </c:pt>
                <c:pt idx="3">
                  <c:v>0.77586206896551735</c:v>
                </c:pt>
                <c:pt idx="4">
                  <c:v>1.0344827586206897</c:v>
                </c:pt>
                <c:pt idx="5">
                  <c:v>1.2931034482758621</c:v>
                </c:pt>
                <c:pt idx="6">
                  <c:v>1.5517241379310345</c:v>
                </c:pt>
                <c:pt idx="7">
                  <c:v>1.8103448275862069</c:v>
                </c:pt>
                <c:pt idx="8">
                  <c:v>2.0689655172413794</c:v>
                </c:pt>
                <c:pt idx="9">
                  <c:v>2.327586206896552</c:v>
                </c:pt>
                <c:pt idx="10">
                  <c:v>2.5862068965517246</c:v>
                </c:pt>
                <c:pt idx="11">
                  <c:v>2.8448275862068972</c:v>
                </c:pt>
                <c:pt idx="12">
                  <c:v>3.1034482758620698</c:v>
                </c:pt>
                <c:pt idx="13">
                  <c:v>3.3620689655172424</c:v>
                </c:pt>
                <c:pt idx="14">
                  <c:v>3.620689655172415</c:v>
                </c:pt>
                <c:pt idx="15">
                  <c:v>3.8793103448275876</c:v>
                </c:pt>
                <c:pt idx="16">
                  <c:v>4.1379310344827598</c:v>
                </c:pt>
                <c:pt idx="17">
                  <c:v>4.3965517241379324</c:v>
                </c:pt>
                <c:pt idx="18">
                  <c:v>4.655172413793105</c:v>
                </c:pt>
                <c:pt idx="19">
                  <c:v>4.9137931034482776</c:v>
                </c:pt>
                <c:pt idx="20">
                  <c:v>5.1724137931034502</c:v>
                </c:pt>
                <c:pt idx="21">
                  <c:v>5.4310344827586228</c:v>
                </c:pt>
                <c:pt idx="22">
                  <c:v>5.6896551724137954</c:v>
                </c:pt>
                <c:pt idx="23">
                  <c:v>5.948275862068968</c:v>
                </c:pt>
                <c:pt idx="24">
                  <c:v>6.2068965517241406</c:v>
                </c:pt>
                <c:pt idx="25">
                  <c:v>6.4655172413793132</c:v>
                </c:pt>
                <c:pt idx="26">
                  <c:v>6.7241379310344858</c:v>
                </c:pt>
                <c:pt idx="27">
                  <c:v>6.9827586206896584</c:v>
                </c:pt>
                <c:pt idx="28">
                  <c:v>7.241379310344831</c:v>
                </c:pt>
                <c:pt idx="29">
                  <c:v>7.5</c:v>
                </c:pt>
              </c:numCache>
            </c:numRef>
          </c:yVal>
          <c:smooth val="0"/>
          <c:extLst>
            <c:ext xmlns:c16="http://schemas.microsoft.com/office/drawing/2014/chart" uri="{C3380CC4-5D6E-409C-BE32-E72D297353CC}">
              <c16:uniqueId val="{00000001-BD76-43EE-A51E-4DC7F9C21567}"/>
            </c:ext>
          </c:extLst>
        </c:ser>
        <c:ser>
          <c:idx val="2"/>
          <c:order val="2"/>
          <c:tx>
            <c:v>σz(z)</c:v>
          </c:tx>
          <c:marker>
            <c:symbol val="triangle"/>
            <c:size val="3"/>
          </c:marker>
          <c:xVal>
            <c:numRef>
              <c:f>'Contact Linéaire'!$J$113:$J$142</c:f>
              <c:numCache>
                <c:formatCode>0.00</c:formatCode>
                <c:ptCount val="30"/>
                <c:pt idx="0">
                  <c:v>-67.15464523354089</c:v>
                </c:pt>
                <c:pt idx="1">
                  <c:v>-39.705049093825501</c:v>
                </c:pt>
                <c:pt idx="2">
                  <c:v>-23.11216974206722</c:v>
                </c:pt>
                <c:pt idx="3">
                  <c:v>-15.941552613463678</c:v>
                </c:pt>
                <c:pt idx="4">
                  <c:v>-12.106330443875896</c:v>
                </c:pt>
                <c:pt idx="5">
                  <c:v>-9.7422226647093826</c:v>
                </c:pt>
                <c:pt idx="6">
                  <c:v>-8.1447490974688019</c:v>
                </c:pt>
                <c:pt idx="7">
                  <c:v>-6.9948758470145682</c:v>
                </c:pt>
                <c:pt idx="8">
                  <c:v>-6.1283129881368241</c:v>
                </c:pt>
                <c:pt idx="9">
                  <c:v>-5.4521560668386035</c:v>
                </c:pt>
                <c:pt idx="10">
                  <c:v>-4.910016039925118</c:v>
                </c:pt>
                <c:pt idx="11">
                  <c:v>-4.4657230428811072</c:v>
                </c:pt>
                <c:pt idx="12">
                  <c:v>-4.0950258950979768</c:v>
                </c:pt>
                <c:pt idx="13">
                  <c:v>-3.781063962832127</c:v>
                </c:pt>
                <c:pt idx="14">
                  <c:v>-3.5117548416506219</c:v>
                </c:pt>
                <c:pt idx="15">
                  <c:v>-3.2782156255953931</c:v>
                </c:pt>
                <c:pt idx="16">
                  <c:v>-3.073770673320388</c:v>
                </c:pt>
                <c:pt idx="17">
                  <c:v>-2.893306730336302</c:v>
                </c:pt>
                <c:pt idx="18">
                  <c:v>-2.7328414773351017</c:v>
                </c:pt>
                <c:pt idx="19">
                  <c:v>-2.5892274658966588</c:v>
                </c:pt>
                <c:pt idx="20">
                  <c:v>-2.4599443731400119</c:v>
                </c:pt>
                <c:pt idx="21">
                  <c:v>-2.3429503120450312</c:v>
                </c:pt>
                <c:pt idx="22">
                  <c:v>-2.2365735083859968</c:v>
                </c:pt>
                <c:pt idx="23">
                  <c:v>-2.1394321188053302</c:v>
                </c:pt>
                <c:pt idx="24">
                  <c:v>-2.0503740186790194</c:v>
                </c:pt>
                <c:pt idx="25">
                  <c:v>-1.9684309909459357</c:v>
                </c:pt>
                <c:pt idx="26">
                  <c:v>-1.8927834531692835</c:v>
                </c:pt>
                <c:pt idx="27">
                  <c:v>-1.8227330000731543</c:v>
                </c:pt>
                <c:pt idx="28">
                  <c:v>-1.7576808138814364</c:v>
                </c:pt>
                <c:pt idx="29">
                  <c:v>-1.697110530255667</c:v>
                </c:pt>
              </c:numCache>
            </c:numRef>
          </c:xVal>
          <c:yVal>
            <c:numRef>
              <c:f>'Contact Linéaire'!$N$113:$N$142</c:f>
              <c:numCache>
                <c:formatCode>0.000</c:formatCode>
                <c:ptCount val="30"/>
                <c:pt idx="0">
                  <c:v>0</c:v>
                </c:pt>
                <c:pt idx="1">
                  <c:v>0.25862068965517243</c:v>
                </c:pt>
                <c:pt idx="2">
                  <c:v>0.51724137931034486</c:v>
                </c:pt>
                <c:pt idx="3">
                  <c:v>0.77586206896551735</c:v>
                </c:pt>
                <c:pt idx="4">
                  <c:v>1.0344827586206897</c:v>
                </c:pt>
                <c:pt idx="5">
                  <c:v>1.2931034482758621</c:v>
                </c:pt>
                <c:pt idx="6">
                  <c:v>1.5517241379310345</c:v>
                </c:pt>
                <c:pt idx="7">
                  <c:v>1.8103448275862069</c:v>
                </c:pt>
                <c:pt idx="8">
                  <c:v>2.0689655172413794</c:v>
                </c:pt>
                <c:pt idx="9">
                  <c:v>2.327586206896552</c:v>
                </c:pt>
                <c:pt idx="10">
                  <c:v>2.5862068965517246</c:v>
                </c:pt>
                <c:pt idx="11">
                  <c:v>2.8448275862068972</c:v>
                </c:pt>
                <c:pt idx="12">
                  <c:v>3.1034482758620698</c:v>
                </c:pt>
                <c:pt idx="13">
                  <c:v>3.3620689655172424</c:v>
                </c:pt>
                <c:pt idx="14">
                  <c:v>3.620689655172415</c:v>
                </c:pt>
                <c:pt idx="15">
                  <c:v>3.8793103448275876</c:v>
                </c:pt>
                <c:pt idx="16">
                  <c:v>4.1379310344827598</c:v>
                </c:pt>
                <c:pt idx="17">
                  <c:v>4.3965517241379324</c:v>
                </c:pt>
                <c:pt idx="18">
                  <c:v>4.655172413793105</c:v>
                </c:pt>
                <c:pt idx="19">
                  <c:v>4.9137931034482776</c:v>
                </c:pt>
                <c:pt idx="20">
                  <c:v>5.1724137931034502</c:v>
                </c:pt>
                <c:pt idx="21">
                  <c:v>5.4310344827586228</c:v>
                </c:pt>
                <c:pt idx="22">
                  <c:v>5.6896551724137954</c:v>
                </c:pt>
                <c:pt idx="23">
                  <c:v>5.948275862068968</c:v>
                </c:pt>
                <c:pt idx="24">
                  <c:v>6.2068965517241406</c:v>
                </c:pt>
                <c:pt idx="25">
                  <c:v>6.4655172413793132</c:v>
                </c:pt>
                <c:pt idx="26">
                  <c:v>6.7241379310344858</c:v>
                </c:pt>
                <c:pt idx="27">
                  <c:v>6.9827586206896584</c:v>
                </c:pt>
                <c:pt idx="28">
                  <c:v>7.241379310344831</c:v>
                </c:pt>
                <c:pt idx="29">
                  <c:v>7.5</c:v>
                </c:pt>
              </c:numCache>
            </c:numRef>
          </c:yVal>
          <c:smooth val="0"/>
          <c:extLst>
            <c:ext xmlns:c16="http://schemas.microsoft.com/office/drawing/2014/chart" uri="{C3380CC4-5D6E-409C-BE32-E72D297353CC}">
              <c16:uniqueId val="{00000002-BD76-43EE-A51E-4DC7F9C21567}"/>
            </c:ext>
          </c:extLst>
        </c:ser>
        <c:ser>
          <c:idx val="3"/>
          <c:order val="3"/>
          <c:tx>
            <c:v>τxz(z)</c:v>
          </c:tx>
          <c:marker>
            <c:symbol val="x"/>
            <c:size val="3"/>
          </c:marker>
          <c:xVal>
            <c:numRef>
              <c:f>'Contact Linéaire'!$L$113:$L$142</c:f>
              <c:numCache>
                <c:formatCode>0.00</c:formatCode>
                <c:ptCount val="30"/>
                <c:pt idx="0">
                  <c:v>0</c:v>
                </c:pt>
                <c:pt idx="1">
                  <c:v>-17.725933084454109</c:v>
                </c:pt>
                <c:pt idx="2">
                  <c:v>-11.19198138196327</c:v>
                </c:pt>
                <c:pt idx="3">
                  <c:v>-7.8552040980139228</c:v>
                </c:pt>
                <c:pt idx="4">
                  <c:v>-6.0031686559986994</c:v>
                </c:pt>
                <c:pt idx="5">
                  <c:v>-4.8452090182223966</c:v>
                </c:pt>
                <c:pt idx="6">
                  <c:v>-4.0572875464112244</c:v>
                </c:pt>
                <c:pt idx="7">
                  <c:v>-3.4878997877639661</c:v>
                </c:pt>
                <c:pt idx="8">
                  <c:v>-3.0577503789604141</c:v>
                </c:pt>
                <c:pt idx="9">
                  <c:v>-2.7215709291105847</c:v>
                </c:pt>
                <c:pt idx="10">
                  <c:v>-2.4517182177394998</c:v>
                </c:pt>
                <c:pt idx="11">
                  <c:v>-2.2303875476169468</c:v>
                </c:pt>
                <c:pt idx="12">
                  <c:v>-2.0456060101779223</c:v>
                </c:pt>
                <c:pt idx="13">
                  <c:v>-1.8890312976988946</c:v>
                </c:pt>
                <c:pt idx="14">
                  <c:v>-1.7546753643054831</c:v>
                </c:pt>
                <c:pt idx="15">
                  <c:v>-1.638130151628159</c:v>
                </c:pt>
                <c:pt idx="16">
                  <c:v>-1.5360795360884096</c:v>
                </c:pt>
                <c:pt idx="17">
                  <c:v>-1.4459814032094507</c:v>
                </c:pt>
                <c:pt idx="18">
                  <c:v>-1.3658545501608303</c:v>
                </c:pt>
                <c:pt idx="19">
                  <c:v>-1.2941322382634941</c:v>
                </c:pt>
                <c:pt idx="20">
                  <c:v>-1.2295593052103446</c:v>
                </c:pt>
                <c:pt idx="21">
                  <c:v>-1.1711184490736695</c:v>
                </c:pt>
                <c:pt idx="22">
                  <c:v>-1.1179764780482542</c:v>
                </c:pt>
                <c:pt idx="23">
                  <c:v>-1.069444494333506</c:v>
                </c:pt>
                <c:pt idx="24">
                  <c:v>-1.0249479753485333</c:v>
                </c:pt>
                <c:pt idx="25">
                  <c:v>-0.98400399803683924</c:v>
                </c:pt>
                <c:pt idx="26">
                  <c:v>-0.94620369394444293</c:v>
                </c:pt>
                <c:pt idx="27">
                  <c:v>-0.9111985859691355</c:v>
                </c:pt>
                <c:pt idx="28">
                  <c:v>-0.8786898410047802</c:v>
                </c:pt>
                <c:pt idx="29">
                  <c:v>-0.84841973776263135</c:v>
                </c:pt>
              </c:numCache>
            </c:numRef>
          </c:xVal>
          <c:yVal>
            <c:numRef>
              <c:f>'Contact Linéaire'!$N$113:$N$142</c:f>
              <c:numCache>
                <c:formatCode>0.000</c:formatCode>
                <c:ptCount val="30"/>
                <c:pt idx="0">
                  <c:v>0</c:v>
                </c:pt>
                <c:pt idx="1">
                  <c:v>0.25862068965517243</c:v>
                </c:pt>
                <c:pt idx="2">
                  <c:v>0.51724137931034486</c:v>
                </c:pt>
                <c:pt idx="3">
                  <c:v>0.77586206896551735</c:v>
                </c:pt>
                <c:pt idx="4">
                  <c:v>1.0344827586206897</c:v>
                </c:pt>
                <c:pt idx="5">
                  <c:v>1.2931034482758621</c:v>
                </c:pt>
                <c:pt idx="6">
                  <c:v>1.5517241379310345</c:v>
                </c:pt>
                <c:pt idx="7">
                  <c:v>1.8103448275862069</c:v>
                </c:pt>
                <c:pt idx="8">
                  <c:v>2.0689655172413794</c:v>
                </c:pt>
                <c:pt idx="9">
                  <c:v>2.327586206896552</c:v>
                </c:pt>
                <c:pt idx="10">
                  <c:v>2.5862068965517246</c:v>
                </c:pt>
                <c:pt idx="11">
                  <c:v>2.8448275862068972</c:v>
                </c:pt>
                <c:pt idx="12">
                  <c:v>3.1034482758620698</c:v>
                </c:pt>
                <c:pt idx="13">
                  <c:v>3.3620689655172424</c:v>
                </c:pt>
                <c:pt idx="14">
                  <c:v>3.620689655172415</c:v>
                </c:pt>
                <c:pt idx="15">
                  <c:v>3.8793103448275876</c:v>
                </c:pt>
                <c:pt idx="16">
                  <c:v>4.1379310344827598</c:v>
                </c:pt>
                <c:pt idx="17">
                  <c:v>4.3965517241379324</c:v>
                </c:pt>
                <c:pt idx="18">
                  <c:v>4.655172413793105</c:v>
                </c:pt>
                <c:pt idx="19">
                  <c:v>4.9137931034482776</c:v>
                </c:pt>
                <c:pt idx="20">
                  <c:v>5.1724137931034502</c:v>
                </c:pt>
                <c:pt idx="21">
                  <c:v>5.4310344827586228</c:v>
                </c:pt>
                <c:pt idx="22">
                  <c:v>5.6896551724137954</c:v>
                </c:pt>
                <c:pt idx="23">
                  <c:v>5.948275862068968</c:v>
                </c:pt>
                <c:pt idx="24">
                  <c:v>6.2068965517241406</c:v>
                </c:pt>
                <c:pt idx="25">
                  <c:v>6.4655172413793132</c:v>
                </c:pt>
                <c:pt idx="26">
                  <c:v>6.7241379310344858</c:v>
                </c:pt>
                <c:pt idx="27">
                  <c:v>6.9827586206896584</c:v>
                </c:pt>
                <c:pt idx="28">
                  <c:v>7.241379310344831</c:v>
                </c:pt>
                <c:pt idx="29">
                  <c:v>7.5</c:v>
                </c:pt>
              </c:numCache>
            </c:numRef>
          </c:yVal>
          <c:smooth val="0"/>
          <c:extLst>
            <c:ext xmlns:c16="http://schemas.microsoft.com/office/drawing/2014/chart" uri="{C3380CC4-5D6E-409C-BE32-E72D297353CC}">
              <c16:uniqueId val="{00000003-BD76-43EE-A51E-4DC7F9C21567}"/>
            </c:ext>
          </c:extLst>
        </c:ser>
        <c:dLbls>
          <c:showLegendKey val="0"/>
          <c:showVal val="0"/>
          <c:showCatName val="0"/>
          <c:showSerName val="0"/>
          <c:showPercent val="0"/>
          <c:showBubbleSize val="0"/>
        </c:dLbls>
        <c:axId val="140815360"/>
        <c:axId val="225301632"/>
      </c:scatterChart>
      <c:valAx>
        <c:axId val="140815360"/>
        <c:scaling>
          <c:orientation val="minMax"/>
        </c:scaling>
        <c:delete val="0"/>
        <c:axPos val="t"/>
        <c:title>
          <c:tx>
            <c:rich>
              <a:bodyPr/>
              <a:lstStyle/>
              <a:p>
                <a:pPr>
                  <a:defRPr sz="1000" b="1" i="0" u="none" strike="noStrike" baseline="0">
                    <a:solidFill>
                      <a:srgbClr val="000000"/>
                    </a:solidFill>
                    <a:latin typeface="Calibri"/>
                    <a:ea typeface="Calibri"/>
                    <a:cs typeface="Calibri"/>
                  </a:defRPr>
                </a:pPr>
                <a:r>
                  <a:rPr lang="fr-FR"/>
                  <a:t>Contraintes  [MPa]</a:t>
                </a:r>
              </a:p>
            </c:rich>
          </c:tx>
          <c:layout/>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5301632"/>
        <c:crosses val="autoZero"/>
        <c:crossBetween val="midCat"/>
      </c:valAx>
      <c:valAx>
        <c:axId val="225301632"/>
        <c:scaling>
          <c:orientation val="maxMin"/>
        </c:scaling>
        <c:delete val="0"/>
        <c:axPos val="l"/>
        <c:majorGridlines/>
        <c:title>
          <c:tx>
            <c:rich>
              <a:bodyPr/>
              <a:lstStyle/>
              <a:p>
                <a:pPr>
                  <a:defRPr sz="1000" b="1" i="0" u="none" strike="noStrike" baseline="0">
                    <a:solidFill>
                      <a:srgbClr val="000000"/>
                    </a:solidFill>
                    <a:latin typeface="Calibri"/>
                    <a:ea typeface="Calibri"/>
                    <a:cs typeface="Calibri"/>
                  </a:defRPr>
                </a:pPr>
                <a:r>
                  <a:rPr lang="fr-FR"/>
                  <a:t>Profondeur z [mm</a:t>
                </a:r>
              </a:p>
            </c:rich>
          </c:tx>
          <c:layout/>
          <c:overlay val="0"/>
        </c:title>
        <c:numFmt formatCode="General" sourceLinked="0"/>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fr-FR"/>
          </a:p>
        </c:txPr>
        <c:crossAx val="140815360"/>
        <c:crosses val="autoZero"/>
        <c:crossBetween val="midCat"/>
      </c:valAx>
    </c:plotArea>
    <c:legend>
      <c:legendPos val="r"/>
      <c:layout>
        <c:manualLayout>
          <c:xMode val="edge"/>
          <c:yMode val="edge"/>
          <c:x val="0.1169632710316221"/>
          <c:y val="0.69955988260088176"/>
          <c:w val="0.2232242368451334"/>
          <c:h val="0.21868973274892367"/>
        </c:manualLayout>
      </c:layout>
      <c:overlay val="0"/>
      <c:spPr>
        <a:solidFill>
          <a:schemeClr val="bg1"/>
        </a:solidFill>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fr-FR" sz="1600" b="1" i="0" u="none" strike="noStrike" kern="1200" baseline="0">
                <a:solidFill>
                  <a:srgbClr val="000000"/>
                </a:solidFill>
                <a:latin typeface="Calibri"/>
                <a:ea typeface="Calibri"/>
                <a:cs typeface="Calibri"/>
              </a:defRPr>
            </a:pPr>
            <a:r>
              <a:rPr lang="fr-FR" sz="1600" b="1" i="0" u="none" strike="noStrike" kern="1200" baseline="0">
                <a:solidFill>
                  <a:srgbClr val="000000"/>
                </a:solidFill>
                <a:latin typeface="Calibri"/>
                <a:ea typeface="Calibri"/>
                <a:cs typeface="Calibri"/>
              </a:rPr>
              <a:t>Répartition des contraintes (solide n°2)</a:t>
            </a:r>
          </a:p>
        </c:rich>
      </c:tx>
      <c:layout/>
      <c:overlay val="0"/>
    </c:title>
    <c:autoTitleDeleted val="0"/>
    <c:plotArea>
      <c:layout>
        <c:manualLayout>
          <c:layoutTarget val="inner"/>
          <c:xMode val="edge"/>
          <c:yMode val="edge"/>
          <c:x val="0.14265664322823846"/>
          <c:y val="0.21028045352198996"/>
          <c:w val="0.78985535141440644"/>
          <c:h val="0.75555616040892926"/>
        </c:manualLayout>
      </c:layout>
      <c:scatterChart>
        <c:scatterStyle val="lineMarker"/>
        <c:varyColors val="0"/>
        <c:ser>
          <c:idx val="0"/>
          <c:order val="0"/>
          <c:tx>
            <c:v>SigY/Pmax</c:v>
          </c:tx>
          <c:marker>
            <c:symbol val="diamond"/>
            <c:size val="3"/>
          </c:marker>
          <c:xVal>
            <c:numRef>
              <c:f>'Contact Linéaire'!$G$113:$G$142</c:f>
              <c:numCache>
                <c:formatCode>0.00</c:formatCode>
                <c:ptCount val="30"/>
                <c:pt idx="0">
                  <c:v>1</c:v>
                </c:pt>
                <c:pt idx="1">
                  <c:v>6.3334158197488263E-2</c:v>
                </c:pt>
                <c:pt idx="2">
                  <c:v>1.084373203980489E-2</c:v>
                </c:pt>
                <c:pt idx="3">
                  <c:v>3.4419721321137307E-3</c:v>
                </c:pt>
                <c:pt idx="4">
                  <c:v>1.4889979915872669E-3</c:v>
                </c:pt>
                <c:pt idx="5">
                  <c:v>7.714228566680733E-4</c:v>
                </c:pt>
                <c:pt idx="6">
                  <c:v>4.4932118309044203E-4</c:v>
                </c:pt>
                <c:pt idx="7">
                  <c:v>2.8406480922198635E-4</c:v>
                </c:pt>
                <c:pt idx="8">
                  <c:v>1.9078695407353187E-4</c:v>
                </c:pt>
                <c:pt idx="9">
                  <c:v>1.3423060439207582E-4</c:v>
                </c:pt>
                <c:pt idx="10">
                  <c:v>9.79769072301225E-5</c:v>
                </c:pt>
                <c:pt idx="11">
                  <c:v>7.3679901516959239E-5</c:v>
                </c:pt>
                <c:pt idx="12">
                  <c:v>5.6792418884330374E-5</c:v>
                </c:pt>
                <c:pt idx="13">
                  <c:v>4.4693370412430133E-5</c:v>
                </c:pt>
                <c:pt idx="14">
                  <c:v>3.5799653639671672E-5</c:v>
                </c:pt>
                <c:pt idx="15">
                  <c:v>2.9116710128915422E-5</c:v>
                </c:pt>
                <c:pt idx="16">
                  <c:v>2.399835689644457E-5</c:v>
                </c:pt>
                <c:pt idx="17">
                  <c:v>2.0012374612761944E-5</c:v>
                </c:pt>
                <c:pt idx="18">
                  <c:v>1.6862229105715216E-5</c:v>
                </c:pt>
                <c:pt idx="19">
                  <c:v>1.4339877253785378E-5</c:v>
                </c:pt>
                <c:pt idx="20">
                  <c:v>1.2296434840075692E-5</c:v>
                </c:pt>
                <c:pt idx="21">
                  <c:v>1.0623448239675942E-5</c:v>
                </c:pt>
                <c:pt idx="22">
                  <c:v>9.2406457860118457E-6</c:v>
                </c:pt>
                <c:pt idx="23">
                  <c:v>8.0877523279224352E-6</c:v>
                </c:pt>
                <c:pt idx="24">
                  <c:v>7.1189115851949291E-6</c:v>
                </c:pt>
                <c:pt idx="25">
                  <c:v>6.2988177628824868E-6</c:v>
                </c:pt>
                <c:pt idx="26">
                  <c:v>5.5999890862331502E-6</c:v>
                </c:pt>
                <c:pt idx="27">
                  <c:v>5.000817645828676E-6</c:v>
                </c:pt>
                <c:pt idx="28">
                  <c:v>4.4841555015103217E-6</c:v>
                </c:pt>
                <c:pt idx="29">
                  <c:v>4.0362767082125439E-6</c:v>
                </c:pt>
              </c:numCache>
            </c:numRef>
          </c:xVal>
          <c:yVal>
            <c:numRef>
              <c:f>'Contact Linéaire'!$O$113:$O$142</c:f>
              <c:numCache>
                <c:formatCode>0.000</c:formatCode>
                <c:ptCount val="30"/>
                <c:pt idx="0">
                  <c:v>0</c:v>
                </c:pt>
                <c:pt idx="1">
                  <c:v>-1.36404659560423</c:v>
                </c:pt>
                <c:pt idx="2">
                  <c:v>-2.7280931912084601</c:v>
                </c:pt>
                <c:pt idx="3">
                  <c:v>-4.0921397868126901</c:v>
                </c:pt>
                <c:pt idx="4">
                  <c:v>-5.4561863824169201</c:v>
                </c:pt>
                <c:pt idx="5">
                  <c:v>-6.8202329780211501</c:v>
                </c:pt>
                <c:pt idx="6">
                  <c:v>-8.1842795736253802</c:v>
                </c:pt>
                <c:pt idx="7">
                  <c:v>-9.5483261692296093</c:v>
                </c:pt>
                <c:pt idx="8">
                  <c:v>-10.91237276483384</c:v>
                </c:pt>
                <c:pt idx="9">
                  <c:v>-12.276419360438071</c:v>
                </c:pt>
                <c:pt idx="10">
                  <c:v>-13.640465956042302</c:v>
                </c:pt>
                <c:pt idx="11">
                  <c:v>-15.004512551646533</c:v>
                </c:pt>
                <c:pt idx="12">
                  <c:v>-16.368559147250764</c:v>
                </c:pt>
                <c:pt idx="13">
                  <c:v>-17.732605742854993</c:v>
                </c:pt>
                <c:pt idx="14">
                  <c:v>-19.096652338459226</c:v>
                </c:pt>
                <c:pt idx="15">
                  <c:v>-20.460698934063455</c:v>
                </c:pt>
                <c:pt idx="16">
                  <c:v>-21.824745529667684</c:v>
                </c:pt>
                <c:pt idx="17">
                  <c:v>-23.188792125271917</c:v>
                </c:pt>
                <c:pt idx="18">
                  <c:v>-24.552838720876146</c:v>
                </c:pt>
                <c:pt idx="19">
                  <c:v>-25.916885316480379</c:v>
                </c:pt>
                <c:pt idx="20">
                  <c:v>-27.280931912084608</c:v>
                </c:pt>
                <c:pt idx="21">
                  <c:v>-28.64497850768884</c:v>
                </c:pt>
                <c:pt idx="22">
                  <c:v>-30.009025103293069</c:v>
                </c:pt>
                <c:pt idx="23">
                  <c:v>-31.373071698897302</c:v>
                </c:pt>
                <c:pt idx="24">
                  <c:v>-32.737118294501535</c:v>
                </c:pt>
                <c:pt idx="25">
                  <c:v>-34.101164890105764</c:v>
                </c:pt>
                <c:pt idx="26">
                  <c:v>-35.465211485709993</c:v>
                </c:pt>
                <c:pt idx="27">
                  <c:v>-36.829258081314222</c:v>
                </c:pt>
                <c:pt idx="28">
                  <c:v>-38.193304676918459</c:v>
                </c:pt>
                <c:pt idx="29">
                  <c:v>-39.557351272522666</c:v>
                </c:pt>
              </c:numCache>
            </c:numRef>
          </c:yVal>
          <c:smooth val="0"/>
          <c:extLst>
            <c:ext xmlns:c16="http://schemas.microsoft.com/office/drawing/2014/chart" uri="{C3380CC4-5D6E-409C-BE32-E72D297353CC}">
              <c16:uniqueId val="{00000000-0834-40BD-AA91-F6B299F063A2}"/>
            </c:ext>
          </c:extLst>
        </c:ser>
        <c:ser>
          <c:idx val="1"/>
          <c:order val="1"/>
          <c:tx>
            <c:v>SigX/Pmax</c:v>
          </c:tx>
          <c:marker>
            <c:symbol val="square"/>
            <c:size val="3"/>
          </c:marker>
          <c:xVal>
            <c:numRef>
              <c:f>'Contact Linéaire'!$I$113:$I$142</c:f>
              <c:numCache>
                <c:formatCode>0.000</c:formatCode>
                <c:ptCount val="30"/>
                <c:pt idx="0">
                  <c:v>0.55659999999999998</c:v>
                </c:pt>
                <c:pt idx="1">
                  <c:v>0.18217021217626747</c:v>
                </c:pt>
                <c:pt idx="2">
                  <c:v>9.8798479511884404E-2</c:v>
                </c:pt>
                <c:pt idx="3">
                  <c:v>6.7022341761271684E-2</c:v>
                </c:pt>
                <c:pt idx="4">
                  <c:v>5.0585031598615222E-2</c:v>
                </c:pt>
                <c:pt idx="5">
                  <c:v>4.0588075272465524E-2</c:v>
                </c:pt>
                <c:pt idx="6">
                  <c:v>3.3878238674430863E-2</c:v>
                </c:pt>
                <c:pt idx="7">
                  <c:v>2.9066982154258476E-2</c:v>
                </c:pt>
                <c:pt idx="8">
                  <c:v>2.5449842558531017E-2</c:v>
                </c:pt>
                <c:pt idx="9">
                  <c:v>2.2631996377523812E-2</c:v>
                </c:pt>
                <c:pt idx="10">
                  <c:v>2.037518868679988E-2</c:v>
                </c:pt>
                <c:pt idx="11">
                  <c:v>1.8527202881307252E-2</c:v>
                </c:pt>
                <c:pt idx="12">
                  <c:v>1.6986272565054309E-2</c:v>
                </c:pt>
                <c:pt idx="13">
                  <c:v>1.5681795023274981E-2</c:v>
                </c:pt>
                <c:pt idx="14">
                  <c:v>1.4563258188458104E-2</c:v>
                </c:pt>
                <c:pt idx="15">
                  <c:v>1.3593573037806247E-2</c:v>
                </c:pt>
                <c:pt idx="16">
                  <c:v>1.2744894772458808E-2</c:v>
                </c:pt>
                <c:pt idx="17">
                  <c:v>1.1995912930181324E-2</c:v>
                </c:pt>
                <c:pt idx="18">
                  <c:v>1.1330041593091162E-2</c:v>
                </c:pt>
                <c:pt idx="19">
                  <c:v>1.0734179313937157E-2</c:v>
                </c:pt>
                <c:pt idx="20">
                  <c:v>1.0197840021758805E-2</c:v>
                </c:pt>
                <c:pt idx="21">
                  <c:v>9.7125316150741357E-3</c:v>
                </c:pt>
                <c:pt idx="22">
                  <c:v>9.2713036443083686E-3</c:v>
                </c:pt>
                <c:pt idx="23">
                  <c:v>8.8684127465765497E-3</c:v>
                </c:pt>
                <c:pt idx="24">
                  <c:v>8.4990715643410968E-3</c:v>
                </c:pt>
                <c:pt idx="25">
                  <c:v>8.1592578197333156E-3</c:v>
                </c:pt>
                <c:pt idx="26">
                  <c:v>7.8455673788803727E-3</c:v>
                </c:pt>
                <c:pt idx="27">
                  <c:v>7.5550999208732423E-3</c:v>
                </c:pt>
                <c:pt idx="28">
                  <c:v>7.2853690731542733E-3</c:v>
                </c:pt>
                <c:pt idx="29">
                  <c:v>7.0342311162351588E-3</c:v>
                </c:pt>
              </c:numCache>
            </c:numRef>
          </c:xVal>
          <c:yVal>
            <c:numRef>
              <c:f>'Contact Linéaire'!$O$113:$O$142</c:f>
              <c:numCache>
                <c:formatCode>0.000</c:formatCode>
                <c:ptCount val="30"/>
                <c:pt idx="0">
                  <c:v>0</c:v>
                </c:pt>
                <c:pt idx="1">
                  <c:v>-1.36404659560423</c:v>
                </c:pt>
                <c:pt idx="2">
                  <c:v>-2.7280931912084601</c:v>
                </c:pt>
                <c:pt idx="3">
                  <c:v>-4.0921397868126901</c:v>
                </c:pt>
                <c:pt idx="4">
                  <c:v>-5.4561863824169201</c:v>
                </c:pt>
                <c:pt idx="5">
                  <c:v>-6.8202329780211501</c:v>
                </c:pt>
                <c:pt idx="6">
                  <c:v>-8.1842795736253802</c:v>
                </c:pt>
                <c:pt idx="7">
                  <c:v>-9.5483261692296093</c:v>
                </c:pt>
                <c:pt idx="8">
                  <c:v>-10.91237276483384</c:v>
                </c:pt>
                <c:pt idx="9">
                  <c:v>-12.276419360438071</c:v>
                </c:pt>
                <c:pt idx="10">
                  <c:v>-13.640465956042302</c:v>
                </c:pt>
                <c:pt idx="11">
                  <c:v>-15.004512551646533</c:v>
                </c:pt>
                <c:pt idx="12">
                  <c:v>-16.368559147250764</c:v>
                </c:pt>
                <c:pt idx="13">
                  <c:v>-17.732605742854993</c:v>
                </c:pt>
                <c:pt idx="14">
                  <c:v>-19.096652338459226</c:v>
                </c:pt>
                <c:pt idx="15">
                  <c:v>-20.460698934063455</c:v>
                </c:pt>
                <c:pt idx="16">
                  <c:v>-21.824745529667684</c:v>
                </c:pt>
                <c:pt idx="17">
                  <c:v>-23.188792125271917</c:v>
                </c:pt>
                <c:pt idx="18">
                  <c:v>-24.552838720876146</c:v>
                </c:pt>
                <c:pt idx="19">
                  <c:v>-25.916885316480379</c:v>
                </c:pt>
                <c:pt idx="20">
                  <c:v>-27.280931912084608</c:v>
                </c:pt>
                <c:pt idx="21">
                  <c:v>-28.64497850768884</c:v>
                </c:pt>
                <c:pt idx="22">
                  <c:v>-30.009025103293069</c:v>
                </c:pt>
                <c:pt idx="23">
                  <c:v>-31.373071698897302</c:v>
                </c:pt>
                <c:pt idx="24">
                  <c:v>-32.737118294501535</c:v>
                </c:pt>
                <c:pt idx="25">
                  <c:v>-34.101164890105764</c:v>
                </c:pt>
                <c:pt idx="26">
                  <c:v>-35.465211485709993</c:v>
                </c:pt>
                <c:pt idx="27">
                  <c:v>-36.829258081314222</c:v>
                </c:pt>
                <c:pt idx="28">
                  <c:v>-38.193304676918459</c:v>
                </c:pt>
                <c:pt idx="29">
                  <c:v>-39.557351272522666</c:v>
                </c:pt>
              </c:numCache>
            </c:numRef>
          </c:yVal>
          <c:smooth val="0"/>
          <c:extLst>
            <c:ext xmlns:c16="http://schemas.microsoft.com/office/drawing/2014/chart" uri="{C3380CC4-5D6E-409C-BE32-E72D297353CC}">
              <c16:uniqueId val="{00000001-0834-40BD-AA91-F6B299F063A2}"/>
            </c:ext>
          </c:extLst>
        </c:ser>
        <c:ser>
          <c:idx val="2"/>
          <c:order val="2"/>
          <c:tx>
            <c:v>SigZ/Pmax</c:v>
          </c:tx>
          <c:marker>
            <c:symbol val="triangle"/>
            <c:size val="3"/>
          </c:marker>
          <c:xVal>
            <c:numRef>
              <c:f>'Contact Linéaire'!$K$113:$K$142</c:f>
              <c:numCache>
                <c:formatCode>0.000</c:formatCode>
                <c:ptCount val="30"/>
                <c:pt idx="0">
                  <c:v>1</c:v>
                </c:pt>
                <c:pt idx="1">
                  <c:v>0.59124799119621463</c:v>
                </c:pt>
                <c:pt idx="2">
                  <c:v>0.34416338083078241</c:v>
                </c:pt>
                <c:pt idx="3">
                  <c:v>0.23738570218075622</c:v>
                </c:pt>
                <c:pt idx="4">
                  <c:v>0.18027539869765105</c:v>
                </c:pt>
                <c:pt idx="5">
                  <c:v>0.14507146349786026</c:v>
                </c:pt>
                <c:pt idx="6">
                  <c:v>0.12128348037792695</c:v>
                </c:pt>
                <c:pt idx="7">
                  <c:v>0.10416071476051704</c:v>
                </c:pt>
                <c:pt idx="8">
                  <c:v>9.125672493428634E-2</c:v>
                </c:pt>
                <c:pt idx="9">
                  <c:v>8.1188070428752465E-2</c:v>
                </c:pt>
                <c:pt idx="10">
                  <c:v>7.3115061852382091E-2</c:v>
                </c:pt>
                <c:pt idx="11">
                  <c:v>6.6499093656899683E-2</c:v>
                </c:pt>
                <c:pt idx="12">
                  <c:v>6.097904144764487E-2</c:v>
                </c:pt>
                <c:pt idx="13">
                  <c:v>5.6303833482894292E-2</c:v>
                </c:pt>
                <c:pt idx="14">
                  <c:v>5.2293550646242561E-2</c:v>
                </c:pt>
                <c:pt idx="15">
                  <c:v>4.8815917561545893E-2</c:v>
                </c:pt>
                <c:pt idx="16">
                  <c:v>4.5771527235842956E-2</c:v>
                </c:pt>
                <c:pt idx="17">
                  <c:v>4.3084238182993458E-2</c:v>
                </c:pt>
                <c:pt idx="18">
                  <c:v>4.0694749675636195E-2</c:v>
                </c:pt>
                <c:pt idx="19">
                  <c:v>3.8556193051012495E-2</c:v>
                </c:pt>
                <c:pt idx="20">
                  <c:v>3.6631038174428095E-2</c:v>
                </c:pt>
                <c:pt idx="21">
                  <c:v>3.4888879300859252E-2</c:v>
                </c:pt>
                <c:pt idx="22">
                  <c:v>3.3304822035883877E-2</c:v>
                </c:pt>
                <c:pt idx="23">
                  <c:v>3.1858289346405104E-2</c:v>
                </c:pt>
                <c:pt idx="24">
                  <c:v>3.053212494159592E-2</c:v>
                </c:pt>
                <c:pt idx="25">
                  <c:v>2.9311911098635186E-2</c:v>
                </c:pt>
                <c:pt idx="26">
                  <c:v>2.8185443413286302E-2</c:v>
                </c:pt>
                <c:pt idx="27">
                  <c:v>2.7142321930736322E-2</c:v>
                </c:pt>
                <c:pt idx="28">
                  <c:v>2.6173629653895476E-2</c:v>
                </c:pt>
                <c:pt idx="29">
                  <c:v>2.5271677400032375E-2</c:v>
                </c:pt>
              </c:numCache>
            </c:numRef>
          </c:xVal>
          <c:yVal>
            <c:numRef>
              <c:f>'Contact Linéaire'!$O$113:$O$142</c:f>
              <c:numCache>
                <c:formatCode>0.000</c:formatCode>
                <c:ptCount val="30"/>
                <c:pt idx="0">
                  <c:v>0</c:v>
                </c:pt>
                <c:pt idx="1">
                  <c:v>-1.36404659560423</c:v>
                </c:pt>
                <c:pt idx="2">
                  <c:v>-2.7280931912084601</c:v>
                </c:pt>
                <c:pt idx="3">
                  <c:v>-4.0921397868126901</c:v>
                </c:pt>
                <c:pt idx="4">
                  <c:v>-5.4561863824169201</c:v>
                </c:pt>
                <c:pt idx="5">
                  <c:v>-6.8202329780211501</c:v>
                </c:pt>
                <c:pt idx="6">
                  <c:v>-8.1842795736253802</c:v>
                </c:pt>
                <c:pt idx="7">
                  <c:v>-9.5483261692296093</c:v>
                </c:pt>
                <c:pt idx="8">
                  <c:v>-10.91237276483384</c:v>
                </c:pt>
                <c:pt idx="9">
                  <c:v>-12.276419360438071</c:v>
                </c:pt>
                <c:pt idx="10">
                  <c:v>-13.640465956042302</c:v>
                </c:pt>
                <c:pt idx="11">
                  <c:v>-15.004512551646533</c:v>
                </c:pt>
                <c:pt idx="12">
                  <c:v>-16.368559147250764</c:v>
                </c:pt>
                <c:pt idx="13">
                  <c:v>-17.732605742854993</c:v>
                </c:pt>
                <c:pt idx="14">
                  <c:v>-19.096652338459226</c:v>
                </c:pt>
                <c:pt idx="15">
                  <c:v>-20.460698934063455</c:v>
                </c:pt>
                <c:pt idx="16">
                  <c:v>-21.824745529667684</c:v>
                </c:pt>
                <c:pt idx="17">
                  <c:v>-23.188792125271917</c:v>
                </c:pt>
                <c:pt idx="18">
                  <c:v>-24.552838720876146</c:v>
                </c:pt>
                <c:pt idx="19">
                  <c:v>-25.916885316480379</c:v>
                </c:pt>
                <c:pt idx="20">
                  <c:v>-27.280931912084608</c:v>
                </c:pt>
                <c:pt idx="21">
                  <c:v>-28.64497850768884</c:v>
                </c:pt>
                <c:pt idx="22">
                  <c:v>-30.009025103293069</c:v>
                </c:pt>
                <c:pt idx="23">
                  <c:v>-31.373071698897302</c:v>
                </c:pt>
                <c:pt idx="24">
                  <c:v>-32.737118294501535</c:v>
                </c:pt>
                <c:pt idx="25">
                  <c:v>-34.101164890105764</c:v>
                </c:pt>
                <c:pt idx="26">
                  <c:v>-35.465211485709993</c:v>
                </c:pt>
                <c:pt idx="27">
                  <c:v>-36.829258081314222</c:v>
                </c:pt>
                <c:pt idx="28">
                  <c:v>-38.193304676918459</c:v>
                </c:pt>
                <c:pt idx="29">
                  <c:v>-39.557351272522666</c:v>
                </c:pt>
              </c:numCache>
            </c:numRef>
          </c:yVal>
          <c:smooth val="0"/>
          <c:extLst>
            <c:ext xmlns:c16="http://schemas.microsoft.com/office/drawing/2014/chart" uri="{C3380CC4-5D6E-409C-BE32-E72D297353CC}">
              <c16:uniqueId val="{00000002-0834-40BD-AA91-F6B299F063A2}"/>
            </c:ext>
          </c:extLst>
        </c:ser>
        <c:ser>
          <c:idx val="3"/>
          <c:order val="3"/>
          <c:tx>
            <c:v>TauXZ/Pmax</c:v>
          </c:tx>
          <c:marker>
            <c:symbol val="x"/>
            <c:size val="3"/>
          </c:marker>
          <c:xVal>
            <c:numRef>
              <c:f>'Contact Linéaire'!$M$113:$M$142</c:f>
              <c:numCache>
                <c:formatCode>0.000</c:formatCode>
                <c:ptCount val="30"/>
                <c:pt idx="0">
                  <c:v>0</c:v>
                </c:pt>
                <c:pt idx="1">
                  <c:v>0.26395691649936315</c:v>
                </c:pt>
                <c:pt idx="2">
                  <c:v>0.16665982439548874</c:v>
                </c:pt>
                <c:pt idx="3">
                  <c:v>0.11697186502432125</c:v>
                </c:pt>
                <c:pt idx="4">
                  <c:v>8.9393200353031901E-2</c:v>
                </c:pt>
                <c:pt idx="5">
                  <c:v>7.2150020320596087E-2</c:v>
                </c:pt>
                <c:pt idx="6">
                  <c:v>6.0417079597418252E-2</c:v>
                </c:pt>
                <c:pt idx="7">
                  <c:v>5.1938324975647529E-2</c:v>
                </c:pt>
                <c:pt idx="8">
                  <c:v>4.5532968990106407E-2</c:v>
                </c:pt>
                <c:pt idx="9">
                  <c:v>4.0526919912180187E-2</c:v>
                </c:pt>
                <c:pt idx="10">
                  <c:v>3.6508542472575983E-2</c:v>
                </c:pt>
                <c:pt idx="11">
                  <c:v>3.3212706877691359E-2</c:v>
                </c:pt>
                <c:pt idx="12">
                  <c:v>3.0461124514380267E-2</c:v>
                </c:pt>
                <c:pt idx="13">
                  <c:v>2.8129570056240932E-2</c:v>
                </c:pt>
                <c:pt idx="14">
                  <c:v>2.6128875496301444E-2</c:v>
                </c:pt>
                <c:pt idx="15">
                  <c:v>2.4393400425708492E-2</c:v>
                </c:pt>
                <c:pt idx="16">
                  <c:v>2.2873764439473254E-2</c:v>
                </c:pt>
                <c:pt idx="17">
                  <c:v>2.153211290419035E-2</c:v>
                </c:pt>
                <c:pt idx="18">
                  <c:v>2.0338943723265238E-2</c:v>
                </c:pt>
                <c:pt idx="19">
                  <c:v>1.9270926586879355E-2</c:v>
                </c:pt>
                <c:pt idx="20">
                  <c:v>1.830937086979401E-2</c:v>
                </c:pt>
                <c:pt idx="21">
                  <c:v>1.7439127926309788E-2</c:v>
                </c:pt>
                <c:pt idx="22">
                  <c:v>1.6647790695048934E-2</c:v>
                </c:pt>
                <c:pt idx="23">
                  <c:v>1.5925100797038592E-2</c:v>
                </c:pt>
                <c:pt idx="24">
                  <c:v>1.5262503015005362E-2</c:v>
                </c:pt>
                <c:pt idx="25">
                  <c:v>1.4652806140436151E-2</c:v>
                </c:pt>
                <c:pt idx="26">
                  <c:v>1.4089921712100035E-2</c:v>
                </c:pt>
                <c:pt idx="27">
                  <c:v>1.3568660556545245E-2</c:v>
                </c:pt>
                <c:pt idx="28">
                  <c:v>1.3084572749196983E-2</c:v>
                </c:pt>
                <c:pt idx="29">
                  <c:v>1.263382056166208E-2</c:v>
                </c:pt>
              </c:numCache>
            </c:numRef>
          </c:xVal>
          <c:yVal>
            <c:numRef>
              <c:f>'Contact Linéaire'!$O$113:$O$142</c:f>
              <c:numCache>
                <c:formatCode>0.000</c:formatCode>
                <c:ptCount val="30"/>
                <c:pt idx="0">
                  <c:v>0</c:v>
                </c:pt>
                <c:pt idx="1">
                  <c:v>-1.36404659560423</c:v>
                </c:pt>
                <c:pt idx="2">
                  <c:v>-2.7280931912084601</c:v>
                </c:pt>
                <c:pt idx="3">
                  <c:v>-4.0921397868126901</c:v>
                </c:pt>
                <c:pt idx="4">
                  <c:v>-5.4561863824169201</c:v>
                </c:pt>
                <c:pt idx="5">
                  <c:v>-6.8202329780211501</c:v>
                </c:pt>
                <c:pt idx="6">
                  <c:v>-8.1842795736253802</c:v>
                </c:pt>
                <c:pt idx="7">
                  <c:v>-9.5483261692296093</c:v>
                </c:pt>
                <c:pt idx="8">
                  <c:v>-10.91237276483384</c:v>
                </c:pt>
                <c:pt idx="9">
                  <c:v>-12.276419360438071</c:v>
                </c:pt>
                <c:pt idx="10">
                  <c:v>-13.640465956042302</c:v>
                </c:pt>
                <c:pt idx="11">
                  <c:v>-15.004512551646533</c:v>
                </c:pt>
                <c:pt idx="12">
                  <c:v>-16.368559147250764</c:v>
                </c:pt>
                <c:pt idx="13">
                  <c:v>-17.732605742854993</c:v>
                </c:pt>
                <c:pt idx="14">
                  <c:v>-19.096652338459226</c:v>
                </c:pt>
                <c:pt idx="15">
                  <c:v>-20.460698934063455</c:v>
                </c:pt>
                <c:pt idx="16">
                  <c:v>-21.824745529667684</c:v>
                </c:pt>
                <c:pt idx="17">
                  <c:v>-23.188792125271917</c:v>
                </c:pt>
                <c:pt idx="18">
                  <c:v>-24.552838720876146</c:v>
                </c:pt>
                <c:pt idx="19">
                  <c:v>-25.916885316480379</c:v>
                </c:pt>
                <c:pt idx="20">
                  <c:v>-27.280931912084608</c:v>
                </c:pt>
                <c:pt idx="21">
                  <c:v>-28.64497850768884</c:v>
                </c:pt>
                <c:pt idx="22">
                  <c:v>-30.009025103293069</c:v>
                </c:pt>
                <c:pt idx="23">
                  <c:v>-31.373071698897302</c:v>
                </c:pt>
                <c:pt idx="24">
                  <c:v>-32.737118294501535</c:v>
                </c:pt>
                <c:pt idx="25">
                  <c:v>-34.101164890105764</c:v>
                </c:pt>
                <c:pt idx="26">
                  <c:v>-35.465211485709993</c:v>
                </c:pt>
                <c:pt idx="27">
                  <c:v>-36.829258081314222</c:v>
                </c:pt>
                <c:pt idx="28">
                  <c:v>-38.193304676918459</c:v>
                </c:pt>
                <c:pt idx="29">
                  <c:v>-39.557351272522666</c:v>
                </c:pt>
              </c:numCache>
            </c:numRef>
          </c:yVal>
          <c:smooth val="0"/>
          <c:extLst>
            <c:ext xmlns:c16="http://schemas.microsoft.com/office/drawing/2014/chart" uri="{C3380CC4-5D6E-409C-BE32-E72D297353CC}">
              <c16:uniqueId val="{00000003-0834-40BD-AA91-F6B299F063A2}"/>
            </c:ext>
          </c:extLst>
        </c:ser>
        <c:dLbls>
          <c:showLegendKey val="0"/>
          <c:showVal val="0"/>
          <c:showCatName val="0"/>
          <c:showSerName val="0"/>
          <c:showPercent val="0"/>
          <c:showBubbleSize val="0"/>
        </c:dLbls>
        <c:axId val="141313536"/>
        <c:axId val="141315456"/>
      </c:scatterChart>
      <c:valAx>
        <c:axId val="14131353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1100" b="1" i="0" u="none" strike="noStrike" baseline="0">
                    <a:solidFill>
                      <a:srgbClr val="000000"/>
                    </a:solidFill>
                    <a:latin typeface="Calibri"/>
                  </a:rPr>
                  <a:t>-σ / P</a:t>
                </a:r>
                <a:r>
                  <a:rPr lang="fr-FR" sz="1100" b="1" i="0" u="none" strike="noStrike" baseline="-25000">
                    <a:solidFill>
                      <a:srgbClr val="000000"/>
                    </a:solidFill>
                    <a:latin typeface="Calibri"/>
                  </a:rPr>
                  <a:t>max</a:t>
                </a:r>
              </a:p>
            </c:rich>
          </c:tx>
          <c:layout>
            <c:manualLayout>
              <c:xMode val="edge"/>
              <c:yMode val="edge"/>
              <c:x val="0.41431284324753526"/>
              <c:y val="9.8375641976050712E-2"/>
            </c:manualLayout>
          </c:layout>
          <c:overlay val="0"/>
        </c:title>
        <c:numFmt formatCode="General" sourceLinked="0"/>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fr-FR"/>
          </a:p>
        </c:txPr>
        <c:crossAx val="141315456"/>
        <c:crosses val="autoZero"/>
        <c:crossBetween val="midCat"/>
      </c:valAx>
      <c:valAx>
        <c:axId val="141315456"/>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fr-FR"/>
                  <a:t>rapport -z/b</a:t>
                </a:r>
              </a:p>
            </c:rich>
          </c:tx>
          <c:layout/>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1313536"/>
        <c:crosses val="autoZero"/>
        <c:crossBetween val="midCat"/>
      </c:valAx>
    </c:plotArea>
    <c:legend>
      <c:legendPos val="r"/>
      <c:layout>
        <c:manualLayout>
          <c:xMode val="edge"/>
          <c:yMode val="edge"/>
          <c:x val="0.70570369880235562"/>
          <c:y val="0.68990643345154379"/>
          <c:w val="0.23818566796797458"/>
          <c:h val="0.22221714652080704"/>
        </c:manualLayout>
      </c:layout>
      <c:overlay val="0"/>
      <c:spPr>
        <a:solidFill>
          <a:schemeClr val="bg1"/>
        </a:solidFill>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lgn="ctr" rtl="0">
              <a:defRPr sz="1800" b="1" i="0" u="none" strike="noStrike" kern="1200" baseline="0">
                <a:solidFill>
                  <a:srgbClr val="000000"/>
                </a:solidFill>
                <a:latin typeface="Calibri"/>
                <a:ea typeface="Calibri"/>
                <a:cs typeface="Calibri"/>
              </a:defRPr>
            </a:pPr>
            <a:r>
              <a:rPr lang="en-US" sz="1600" b="1" i="0" u="none" strike="noStrike" kern="1200" baseline="0">
                <a:solidFill>
                  <a:srgbClr val="000000"/>
                </a:solidFill>
                <a:latin typeface="Calibri"/>
                <a:ea typeface="Calibri"/>
                <a:cs typeface="Calibri"/>
              </a:rPr>
              <a:t>Pression de contact en fonction du rayon du poinçon</a:t>
            </a:r>
          </a:p>
        </c:rich>
      </c:tx>
      <c:overlay val="0"/>
    </c:title>
    <c:autoTitleDeleted val="0"/>
    <c:plotArea>
      <c:layout>
        <c:manualLayout>
          <c:layoutTarget val="inner"/>
          <c:xMode val="edge"/>
          <c:yMode val="edge"/>
          <c:x val="0.1665268919769827"/>
          <c:y val="0.21821287971533282"/>
          <c:w val="0.77032986078640397"/>
          <c:h val="0.6408852200645172"/>
        </c:manualLayout>
      </c:layout>
      <c:scatterChart>
        <c:scatterStyle val="lineMarker"/>
        <c:varyColors val="0"/>
        <c:ser>
          <c:idx val="0"/>
          <c:order val="0"/>
          <c:tx>
            <c:v>Pression de contact en fonction du rayon du poinçon</c:v>
          </c:tx>
          <c:marker>
            <c:symbol val="diamond"/>
            <c:size val="4"/>
          </c:marker>
          <c:xVal>
            <c:numRef>
              <c:f>'Contact Poinçon Plan'!$D$70:$D$99</c:f>
              <c:numCache>
                <c:formatCode>0.000</c:formatCode>
                <c:ptCount val="30"/>
                <c:pt idx="0">
                  <c:v>0</c:v>
                </c:pt>
                <c:pt idx="1">
                  <c:v>0.3413793103448276</c:v>
                </c:pt>
                <c:pt idx="2">
                  <c:v>0.6827586206896552</c:v>
                </c:pt>
                <c:pt idx="3">
                  <c:v>1.0241379310344829</c:v>
                </c:pt>
                <c:pt idx="4">
                  <c:v>1.3655172413793104</c:v>
                </c:pt>
                <c:pt idx="5">
                  <c:v>1.7068965517241379</c:v>
                </c:pt>
                <c:pt idx="6">
                  <c:v>2.0482758620689654</c:v>
                </c:pt>
                <c:pt idx="7">
                  <c:v>2.3896551724137929</c:v>
                </c:pt>
                <c:pt idx="8">
                  <c:v>2.7310344827586204</c:v>
                </c:pt>
                <c:pt idx="9">
                  <c:v>3.0724137931034479</c:v>
                </c:pt>
                <c:pt idx="10">
                  <c:v>3.4137931034482754</c:v>
                </c:pt>
                <c:pt idx="11">
                  <c:v>3.7551724137931028</c:v>
                </c:pt>
                <c:pt idx="12">
                  <c:v>4.0965517241379308</c:v>
                </c:pt>
                <c:pt idx="13">
                  <c:v>4.4379310344827587</c:v>
                </c:pt>
                <c:pt idx="14">
                  <c:v>4.7793103448275867</c:v>
                </c:pt>
                <c:pt idx="15">
                  <c:v>5.1206896551724146</c:v>
                </c:pt>
                <c:pt idx="16">
                  <c:v>5.4620689655172425</c:v>
                </c:pt>
                <c:pt idx="17">
                  <c:v>5.8034482758620705</c:v>
                </c:pt>
                <c:pt idx="18">
                  <c:v>6.1448275862068984</c:v>
                </c:pt>
                <c:pt idx="19">
                  <c:v>6.4862068965517263</c:v>
                </c:pt>
                <c:pt idx="20">
                  <c:v>6.8275862068965543</c:v>
                </c:pt>
                <c:pt idx="21">
                  <c:v>7.1689655172413822</c:v>
                </c:pt>
                <c:pt idx="22">
                  <c:v>7.5103448275862101</c:v>
                </c:pt>
                <c:pt idx="23">
                  <c:v>7.8517241379310381</c:v>
                </c:pt>
                <c:pt idx="24">
                  <c:v>8.1931034482758651</c:v>
                </c:pt>
                <c:pt idx="25">
                  <c:v>8.5344827586206922</c:v>
                </c:pt>
                <c:pt idx="26">
                  <c:v>8.8758620689655192</c:v>
                </c:pt>
                <c:pt idx="27">
                  <c:v>9.2172413793103463</c:v>
                </c:pt>
                <c:pt idx="28">
                  <c:v>9.5586206896551733</c:v>
                </c:pt>
                <c:pt idx="29">
                  <c:v>9.9</c:v>
                </c:pt>
              </c:numCache>
            </c:numRef>
          </c:xVal>
          <c:yVal>
            <c:numRef>
              <c:f>'Contact Poinçon Plan'!$C$70:$C$99</c:f>
              <c:numCache>
                <c:formatCode>0.00</c:formatCode>
                <c:ptCount val="30"/>
                <c:pt idx="0">
                  <c:v>3.5809862195676452</c:v>
                </c:pt>
                <c:pt idx="1">
                  <c:v>3.5830746828532898</c:v>
                </c:pt>
                <c:pt idx="2">
                  <c:v>3.5893620653181437</c:v>
                </c:pt>
                <c:pt idx="3">
                  <c:v>3.5999149916344613</c:v>
                </c:pt>
                <c:pt idx="4">
                  <c:v>3.6148466966684909</c:v>
                </c:pt>
                <c:pt idx="5">
                  <c:v>3.6343204512913236</c:v>
                </c:pt>
                <c:pt idx="6">
                  <c:v>3.6585546425645976</c:v>
                </c:pt>
                <c:pt idx="7">
                  <c:v>3.6878298263151321</c:v>
                </c:pt>
                <c:pt idx="8">
                  <c:v>3.72249821527598</c:v>
                </c:pt>
                <c:pt idx="9">
                  <c:v>3.7629962633378109</c:v>
                </c:pt>
                <c:pt idx="10">
                  <c:v>3.8098612835129204</c:v>
                </c:pt>
                <c:pt idx="11">
                  <c:v>3.8637534364864439</c:v>
                </c:pt>
                <c:pt idx="12">
                  <c:v>3.925485015715231</c:v>
                </c:pt>
                <c:pt idx="13">
                  <c:v>3.9960598442128865</c:v>
                </c:pt>
                <c:pt idx="14">
                  <c:v>4.0767269721386024</c:v>
                </c:pt>
                <c:pt idx="15">
                  <c:v>4.1690550413153709</c:v>
                </c:pt>
                <c:pt idx="16">
                  <c:v>4.2750372283507145</c:v>
                </c:pt>
                <c:pt idx="17">
                  <c:v>4.3972426324004816</c:v>
                </c:pt>
                <c:pt idx="18">
                  <c:v>4.5390403265538737</c:v>
                </c:pt>
                <c:pt idx="19">
                  <c:v>4.7049410223187547</c:v>
                </c:pt>
                <c:pt idx="20">
                  <c:v>4.9011367809919832</c:v>
                </c:pt>
                <c:pt idx="21">
                  <c:v>5.1363901676726993</c:v>
                </c:pt>
                <c:pt idx="22">
                  <c:v>5.4235756296009026</c:v>
                </c:pt>
                <c:pt idx="23">
                  <c:v>5.7825253031620019</c:v>
                </c:pt>
                <c:pt idx="24">
                  <c:v>6.2457214398308816</c:v>
                </c:pt>
                <c:pt idx="25">
                  <c:v>6.8709525336916863</c:v>
                </c:pt>
                <c:pt idx="26">
                  <c:v>7.773908973693314</c:v>
                </c:pt>
                <c:pt idx="27">
                  <c:v>9.233007695336017</c:v>
                </c:pt>
                <c:pt idx="28">
                  <c:v>12.187862661348136</c:v>
                </c:pt>
                <c:pt idx="29">
                  <c:v>25.384938264453627</c:v>
                </c:pt>
              </c:numCache>
            </c:numRef>
          </c:yVal>
          <c:smooth val="0"/>
          <c:extLst>
            <c:ext xmlns:c16="http://schemas.microsoft.com/office/drawing/2014/chart" uri="{C3380CC4-5D6E-409C-BE32-E72D297353CC}">
              <c16:uniqueId val="{00000000-D662-4796-9FFA-33B373974653}"/>
            </c:ext>
          </c:extLst>
        </c:ser>
        <c:dLbls>
          <c:showLegendKey val="0"/>
          <c:showVal val="0"/>
          <c:showCatName val="0"/>
          <c:showSerName val="0"/>
          <c:showPercent val="0"/>
          <c:showBubbleSize val="0"/>
        </c:dLbls>
        <c:axId val="276856192"/>
        <c:axId val="276866560"/>
      </c:scatterChart>
      <c:valAx>
        <c:axId val="2768561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Rayon du poinçon [mm]</a:t>
                </a:r>
              </a:p>
            </c:rich>
          </c:tx>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76866560"/>
        <c:crosses val="autoZero"/>
        <c:crossBetween val="midCat"/>
      </c:valAx>
      <c:valAx>
        <c:axId val="276866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fr-FR"/>
                  <a:t>Pression de contact [MPa]</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76856192"/>
        <c:crosses val="autoZero"/>
        <c:crossBetween val="midCat"/>
      </c:valAx>
    </c:plotArea>
    <c:legend>
      <c:legendPos val="r"/>
      <c:layout>
        <c:manualLayout>
          <c:xMode val="edge"/>
          <c:yMode val="edge"/>
          <c:x val="0.18847325902444015"/>
          <c:y val="0.2228618071534624"/>
          <c:w val="0.34283419118064795"/>
          <c:h val="0.15957977102728113"/>
        </c:manualLayout>
      </c:layout>
      <c:overlay val="0"/>
      <c:spPr>
        <a:solidFill>
          <a:sysClr val="window" lastClr="FFFFFF"/>
        </a:solidFill>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12" Type="http://schemas.openxmlformats.org/officeDocument/2006/relationships/image" Target="../media/image9.png"/><Relationship Id="rId2" Type="http://schemas.openxmlformats.org/officeDocument/2006/relationships/hyperlink" Target="#'Contact Ponctuel'!A1"/><Relationship Id="rId1" Type="http://schemas.openxmlformats.org/officeDocument/2006/relationships/image" Target="../media/image1.jpeg"/><Relationship Id="rId6" Type="http://schemas.openxmlformats.org/officeDocument/2006/relationships/hyperlink" Target="#'Contact Lin&#233;aire'!A1"/><Relationship Id="rId11" Type="http://schemas.openxmlformats.org/officeDocument/2006/relationships/image" Target="../media/image8.png"/><Relationship Id="rId5" Type="http://schemas.openxmlformats.org/officeDocument/2006/relationships/image" Target="../media/image4.png"/><Relationship Id="rId10" Type="http://schemas.openxmlformats.org/officeDocument/2006/relationships/hyperlink" Target="#'Contact Poin&#231;on Plan'!A1"/><Relationship Id="rId4" Type="http://schemas.openxmlformats.org/officeDocument/2006/relationships/image" Target="../media/image3.png"/><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image" Target="../media/image12.png"/><Relationship Id="rId7" Type="http://schemas.openxmlformats.org/officeDocument/2006/relationships/chart" Target="../charts/chart3.xml"/><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chart" Target="../charts/chart2.xml"/><Relationship Id="rId11" Type="http://schemas.openxmlformats.org/officeDocument/2006/relationships/image" Target="../media/image9.png"/><Relationship Id="rId5" Type="http://schemas.openxmlformats.org/officeDocument/2006/relationships/chart" Target="../charts/chart1.xml"/><Relationship Id="rId10" Type="http://schemas.openxmlformats.org/officeDocument/2006/relationships/image" Target="../media/image15.png"/><Relationship Id="rId4" Type="http://schemas.openxmlformats.org/officeDocument/2006/relationships/image" Target="../media/image13.jpeg"/><Relationship Id="rId9"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7.png"/><Relationship Id="rId7" Type="http://schemas.openxmlformats.org/officeDocument/2006/relationships/image" Target="../media/image13.jpe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chart" Target="../charts/chart7.xml"/><Relationship Id="rId5" Type="http://schemas.openxmlformats.org/officeDocument/2006/relationships/chart" Target="../charts/chart6.xml"/><Relationship Id="rId10" Type="http://schemas.openxmlformats.org/officeDocument/2006/relationships/image" Target="../media/image17.png"/><Relationship Id="rId4" Type="http://schemas.openxmlformats.org/officeDocument/2006/relationships/chart" Target="../charts/chart5.xml"/><Relationship Id="rId9" Type="http://schemas.openxmlformats.org/officeDocument/2006/relationships/image" Target="../media/image16.pn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1.jpeg"/><Relationship Id="rId1" Type="http://schemas.openxmlformats.org/officeDocument/2006/relationships/image" Target="../media/image18.png"/><Relationship Id="rId5" Type="http://schemas.openxmlformats.org/officeDocument/2006/relationships/image" Target="../media/image9.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9.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66675</xdr:colOff>
      <xdr:row>1</xdr:row>
      <xdr:rowOff>390525</xdr:rowOff>
    </xdr:to>
    <xdr:pic>
      <xdr:nvPicPr>
        <xdr:cNvPr id="2965891" name="Picture 296" descr="CNRS-filaire-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457200</xdr:colOff>
      <xdr:row>22</xdr:row>
      <xdr:rowOff>85725</xdr:rowOff>
    </xdr:from>
    <xdr:to>
      <xdr:col>3</xdr:col>
      <xdr:colOff>714375</xdr:colOff>
      <xdr:row>39</xdr:row>
      <xdr:rowOff>123825</xdr:rowOff>
    </xdr:to>
    <xdr:grpSp>
      <xdr:nvGrpSpPr>
        <xdr:cNvPr id="2965892" name="Groupe 470">
          <a:hlinkClick xmlns:r="http://schemas.openxmlformats.org/officeDocument/2006/relationships" r:id="rId2"/>
        </xdr:cNvPr>
        <xdr:cNvGrpSpPr>
          <a:grpSpLocks/>
        </xdr:cNvGrpSpPr>
      </xdr:nvGrpSpPr>
      <xdr:grpSpPr bwMode="auto">
        <a:xfrm>
          <a:off x="457200" y="4391025"/>
          <a:ext cx="2345055" cy="2887980"/>
          <a:chOff x="485775" y="1628775"/>
          <a:chExt cx="2543175" cy="2790825"/>
        </a:xfrm>
      </xdr:grpSpPr>
      <xdr:sp macro="" textlink="">
        <xdr:nvSpPr>
          <xdr:cNvPr id="460" name="Rectangle 459"/>
          <xdr:cNvSpPr/>
        </xdr:nvSpPr>
        <xdr:spPr>
          <a:xfrm>
            <a:off x="485775" y="1628775"/>
            <a:ext cx="2543175" cy="2790825"/>
          </a:xfrm>
          <a:prstGeom prst="rect">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pic>
        <xdr:nvPicPr>
          <xdr:cNvPr id="2965903"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5325" y="1800225"/>
            <a:ext cx="1014605" cy="122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65904" name="Imag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1790700"/>
            <a:ext cx="1020907" cy="1235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65905" name="Image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52550" y="2971800"/>
            <a:ext cx="9137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476250</xdr:colOff>
      <xdr:row>22</xdr:row>
      <xdr:rowOff>85725</xdr:rowOff>
    </xdr:from>
    <xdr:to>
      <xdr:col>7</xdr:col>
      <xdr:colOff>733425</xdr:colOff>
      <xdr:row>39</xdr:row>
      <xdr:rowOff>123825</xdr:rowOff>
    </xdr:to>
    <xdr:grpSp>
      <xdr:nvGrpSpPr>
        <xdr:cNvPr id="2965893" name="Groupe 471">
          <a:hlinkClick xmlns:r="http://schemas.openxmlformats.org/officeDocument/2006/relationships" r:id="rId6"/>
        </xdr:cNvPr>
        <xdr:cNvGrpSpPr>
          <a:grpSpLocks/>
        </xdr:cNvGrpSpPr>
      </xdr:nvGrpSpPr>
      <xdr:grpSpPr bwMode="auto">
        <a:xfrm>
          <a:off x="3356610" y="4391025"/>
          <a:ext cx="2710815" cy="2887980"/>
          <a:chOff x="3276600" y="1628775"/>
          <a:chExt cx="2543175" cy="2790825"/>
        </a:xfrm>
      </xdr:grpSpPr>
      <xdr:sp macro="" textlink="">
        <xdr:nvSpPr>
          <xdr:cNvPr id="467" name="Rectangle 466"/>
          <xdr:cNvSpPr/>
        </xdr:nvSpPr>
        <xdr:spPr>
          <a:xfrm>
            <a:off x="3276600" y="1628775"/>
            <a:ext cx="2543175" cy="2790825"/>
          </a:xfrm>
          <a:prstGeom prst="rect">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pic>
        <xdr:nvPicPr>
          <xdr:cNvPr id="2965899" name="Image 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933826" y="2971800"/>
            <a:ext cx="958908"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65900" name="Image 5"/>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686300" y="1695451"/>
            <a:ext cx="983247" cy="1260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65901" name="Image 4"/>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409951" y="1685925"/>
            <a:ext cx="1070862" cy="1236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561975</xdr:colOff>
      <xdr:row>22</xdr:row>
      <xdr:rowOff>85725</xdr:rowOff>
    </xdr:from>
    <xdr:to>
      <xdr:col>12</xdr:col>
      <xdr:colOff>57150</xdr:colOff>
      <xdr:row>39</xdr:row>
      <xdr:rowOff>123825</xdr:rowOff>
    </xdr:to>
    <xdr:grpSp>
      <xdr:nvGrpSpPr>
        <xdr:cNvPr id="2965894" name="Groupe 478">
          <a:hlinkClick xmlns:r="http://schemas.openxmlformats.org/officeDocument/2006/relationships" r:id="rId10"/>
        </xdr:cNvPr>
        <xdr:cNvGrpSpPr>
          <a:grpSpLocks/>
        </xdr:cNvGrpSpPr>
      </xdr:nvGrpSpPr>
      <xdr:grpSpPr bwMode="auto">
        <a:xfrm>
          <a:off x="6688455" y="4391025"/>
          <a:ext cx="2665095" cy="2887980"/>
          <a:chOff x="6600825" y="1628775"/>
          <a:chExt cx="2543175" cy="2790825"/>
        </a:xfrm>
      </xdr:grpSpPr>
      <xdr:pic>
        <xdr:nvPicPr>
          <xdr:cNvPr id="2965896" name="Image 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258050" y="1847850"/>
            <a:ext cx="1295399" cy="2403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75" name="Rectangle 474"/>
          <xdr:cNvSpPr/>
        </xdr:nvSpPr>
        <xdr:spPr>
          <a:xfrm>
            <a:off x="6600825" y="1628775"/>
            <a:ext cx="2543175" cy="2790825"/>
          </a:xfrm>
          <a:prstGeom prst="rect">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pSp>
    <xdr:clientData/>
  </xdr:twoCellAnchor>
  <xdr:twoCellAnchor editAs="oneCell">
    <xdr:from>
      <xdr:col>0</xdr:col>
      <xdr:colOff>28575</xdr:colOff>
      <xdr:row>43</xdr:row>
      <xdr:rowOff>19050</xdr:rowOff>
    </xdr:from>
    <xdr:to>
      <xdr:col>2</xdr:col>
      <xdr:colOff>28575</xdr:colOff>
      <xdr:row>45</xdr:row>
      <xdr:rowOff>133350</xdr:rowOff>
    </xdr:to>
    <xdr:pic>
      <xdr:nvPicPr>
        <xdr:cNvPr id="2965895" name="Image 17"/>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8575" y="7096125"/>
          <a:ext cx="1247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4</xdr:row>
      <xdr:rowOff>28575</xdr:rowOff>
    </xdr:from>
    <xdr:to>
      <xdr:col>1</xdr:col>
      <xdr:colOff>1247775</xdr:colOff>
      <xdr:row>15</xdr:row>
      <xdr:rowOff>95250</xdr:rowOff>
    </xdr:to>
    <xdr:pic>
      <xdr:nvPicPr>
        <xdr:cNvPr id="3062715"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667000"/>
          <a:ext cx="15335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1819275</xdr:colOff>
      <xdr:row>4</xdr:row>
      <xdr:rowOff>57150</xdr:rowOff>
    </xdr:from>
    <xdr:to>
      <xdr:col>1</xdr:col>
      <xdr:colOff>3362325</xdr:colOff>
      <xdr:row>15</xdr:row>
      <xdr:rowOff>142875</xdr:rowOff>
    </xdr:to>
    <xdr:pic>
      <xdr:nvPicPr>
        <xdr:cNvPr id="3062716"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0" y="2695575"/>
          <a:ext cx="154305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4</xdr:row>
      <xdr:rowOff>19050</xdr:rowOff>
    </xdr:from>
    <xdr:to>
      <xdr:col>4</xdr:col>
      <xdr:colOff>200025</xdr:colOff>
      <xdr:row>15</xdr:row>
      <xdr:rowOff>123825</xdr:rowOff>
    </xdr:to>
    <xdr:pic>
      <xdr:nvPicPr>
        <xdr:cNvPr id="3062717" name="Imag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33875" y="2657475"/>
          <a:ext cx="13811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57150</xdr:rowOff>
    </xdr:from>
    <xdr:to>
      <xdr:col>1</xdr:col>
      <xdr:colOff>0</xdr:colOff>
      <xdr:row>1</xdr:row>
      <xdr:rowOff>152400</xdr:rowOff>
    </xdr:to>
    <xdr:pic>
      <xdr:nvPicPr>
        <xdr:cNvPr id="3062718" name="Picture 296" descr="CNRS-filaire-Quadri"/>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675" y="57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436180</xdr:colOff>
      <xdr:row>15</xdr:row>
      <xdr:rowOff>106702</xdr:rowOff>
    </xdr:from>
    <xdr:to>
      <xdr:col>1</xdr:col>
      <xdr:colOff>964458</xdr:colOff>
      <xdr:row>17</xdr:row>
      <xdr:rowOff>10699</xdr:rowOff>
    </xdr:to>
    <xdr:sp macro="" textlink="">
      <xdr:nvSpPr>
        <xdr:cNvPr id="27" name="ZoneTexte 26"/>
        <xdr:cNvSpPr txBox="1"/>
      </xdr:nvSpPr>
      <xdr:spPr>
        <a:xfrm>
          <a:off x="436180" y="4526302"/>
          <a:ext cx="1090253" cy="227847"/>
        </a:xfrm>
        <a:prstGeom prst="rect">
          <a:avLst/>
        </a:prstGeom>
        <a:solidFill>
          <a:srgbClr val="0070C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2</a:t>
          </a:r>
          <a:r>
            <a:rPr lang="fr-FR" sz="1100" b="1"/>
            <a:t> = infini</a:t>
          </a:r>
          <a:r>
            <a:rPr lang="fr-FR" sz="1100" b="1" baseline="0"/>
            <a:t> </a:t>
          </a:r>
          <a:r>
            <a:rPr lang="fr-FR" sz="1100" b="1"/>
            <a:t>et E</a:t>
          </a:r>
          <a:r>
            <a:rPr lang="fr-FR" sz="1100" b="1" baseline="-25000"/>
            <a:t>2</a:t>
          </a:r>
        </a:p>
      </xdr:txBody>
    </xdr:sp>
    <xdr:clientData/>
  </xdr:twoCellAnchor>
  <xdr:twoCellAnchor>
    <xdr:from>
      <xdr:col>1</xdr:col>
      <xdr:colOff>870087</xdr:colOff>
      <xdr:row>6</xdr:row>
      <xdr:rowOff>86001</xdr:rowOff>
    </xdr:from>
    <xdr:to>
      <xdr:col>1</xdr:col>
      <xdr:colOff>1506758</xdr:colOff>
      <xdr:row>7</xdr:row>
      <xdr:rowOff>136131</xdr:rowOff>
    </xdr:to>
    <xdr:sp macro="" textlink="">
      <xdr:nvSpPr>
        <xdr:cNvPr id="28" name="ZoneTexte 27"/>
        <xdr:cNvSpPr txBox="1"/>
      </xdr:nvSpPr>
      <xdr:spPr>
        <a:xfrm>
          <a:off x="1432062" y="3048276"/>
          <a:ext cx="636671" cy="21205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1</a:t>
          </a:r>
          <a:r>
            <a:rPr lang="fr-FR" sz="1100" b="1"/>
            <a:t> et E</a:t>
          </a:r>
          <a:r>
            <a:rPr lang="fr-FR" sz="1100" b="1" baseline="-25000"/>
            <a:t>1</a:t>
          </a:r>
        </a:p>
      </xdr:txBody>
    </xdr:sp>
    <xdr:clientData/>
  </xdr:twoCellAnchor>
  <xdr:twoCellAnchor>
    <xdr:from>
      <xdr:col>1</xdr:col>
      <xdr:colOff>571425</xdr:colOff>
      <xdr:row>3</xdr:row>
      <xdr:rowOff>84740</xdr:rowOff>
    </xdr:from>
    <xdr:to>
      <xdr:col>1</xdr:col>
      <xdr:colOff>1208096</xdr:colOff>
      <xdr:row>4</xdr:row>
      <xdr:rowOff>145899</xdr:rowOff>
    </xdr:to>
    <xdr:sp macro="" textlink="">
      <xdr:nvSpPr>
        <xdr:cNvPr id="29" name="ZoneTexte 28"/>
        <xdr:cNvSpPr txBox="1"/>
      </xdr:nvSpPr>
      <xdr:spPr>
        <a:xfrm>
          <a:off x="1136356" y="1792671"/>
          <a:ext cx="636671" cy="225383"/>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F</a:t>
          </a:r>
          <a:r>
            <a:rPr lang="fr-FR" sz="1100" b="1" baseline="-25000"/>
            <a:t>N</a:t>
          </a:r>
        </a:p>
      </xdr:txBody>
    </xdr:sp>
    <xdr:clientData/>
  </xdr:twoCellAnchor>
  <xdr:twoCellAnchor>
    <xdr:from>
      <xdr:col>1</xdr:col>
      <xdr:colOff>2964519</xdr:colOff>
      <xdr:row>6</xdr:row>
      <xdr:rowOff>95250</xdr:rowOff>
    </xdr:from>
    <xdr:to>
      <xdr:col>2</xdr:col>
      <xdr:colOff>172190</xdr:colOff>
      <xdr:row>7</xdr:row>
      <xdr:rowOff>145380</xdr:rowOff>
    </xdr:to>
    <xdr:sp macro="" textlink="">
      <xdr:nvSpPr>
        <xdr:cNvPr id="30" name="ZoneTexte 29"/>
        <xdr:cNvSpPr txBox="1"/>
      </xdr:nvSpPr>
      <xdr:spPr>
        <a:xfrm>
          <a:off x="3526494" y="3057525"/>
          <a:ext cx="636671" cy="21205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1</a:t>
          </a:r>
          <a:r>
            <a:rPr lang="fr-FR" sz="1100" b="1"/>
            <a:t> &gt; 0</a:t>
          </a:r>
          <a:endParaRPr lang="fr-FR" sz="1100" b="1" baseline="-25000"/>
        </a:p>
      </xdr:txBody>
    </xdr:sp>
    <xdr:clientData/>
  </xdr:twoCellAnchor>
  <xdr:twoCellAnchor>
    <xdr:from>
      <xdr:col>1</xdr:col>
      <xdr:colOff>2269194</xdr:colOff>
      <xdr:row>15</xdr:row>
      <xdr:rowOff>114300</xdr:rowOff>
    </xdr:from>
    <xdr:to>
      <xdr:col>1</xdr:col>
      <xdr:colOff>2905865</xdr:colOff>
      <xdr:row>17</xdr:row>
      <xdr:rowOff>2505</xdr:rowOff>
    </xdr:to>
    <xdr:sp macro="" textlink="">
      <xdr:nvSpPr>
        <xdr:cNvPr id="31" name="ZoneTexte 30"/>
        <xdr:cNvSpPr txBox="1"/>
      </xdr:nvSpPr>
      <xdr:spPr>
        <a:xfrm>
          <a:off x="2831169" y="4533900"/>
          <a:ext cx="636671" cy="212055"/>
        </a:xfrm>
        <a:prstGeom prst="rect">
          <a:avLst/>
        </a:prstGeom>
        <a:solidFill>
          <a:srgbClr val="0070C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2</a:t>
          </a:r>
          <a:r>
            <a:rPr lang="fr-FR" sz="1100" b="1"/>
            <a:t> &lt; 0</a:t>
          </a:r>
          <a:endParaRPr lang="fr-FR" sz="1100" b="1" baseline="-25000"/>
        </a:p>
      </xdr:txBody>
    </xdr:sp>
    <xdr:clientData/>
  </xdr:twoCellAnchor>
  <xdr:twoCellAnchor>
    <xdr:from>
      <xdr:col>3</xdr:col>
      <xdr:colOff>665634</xdr:colOff>
      <xdr:row>6</xdr:row>
      <xdr:rowOff>115421</xdr:rowOff>
    </xdr:from>
    <xdr:to>
      <xdr:col>4</xdr:col>
      <xdr:colOff>540305</xdr:colOff>
      <xdr:row>8</xdr:row>
      <xdr:rowOff>8668</xdr:rowOff>
    </xdr:to>
    <xdr:sp macro="" textlink="">
      <xdr:nvSpPr>
        <xdr:cNvPr id="32" name="ZoneTexte 31"/>
        <xdr:cNvSpPr txBox="1"/>
      </xdr:nvSpPr>
      <xdr:spPr>
        <a:xfrm>
          <a:off x="5418609" y="3077696"/>
          <a:ext cx="636671" cy="217097"/>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1</a:t>
          </a:r>
          <a:r>
            <a:rPr lang="fr-FR" sz="1100" b="1"/>
            <a:t> &gt; 0</a:t>
          </a:r>
          <a:endParaRPr lang="fr-FR" sz="1100" b="1" baseline="-25000"/>
        </a:p>
      </xdr:txBody>
    </xdr:sp>
    <xdr:clientData/>
  </xdr:twoCellAnchor>
  <xdr:twoCellAnchor>
    <xdr:from>
      <xdr:col>2</xdr:col>
      <xdr:colOff>703734</xdr:colOff>
      <xdr:row>15</xdr:row>
      <xdr:rowOff>133350</xdr:rowOff>
    </xdr:from>
    <xdr:to>
      <xdr:col>3</xdr:col>
      <xdr:colOff>578405</xdr:colOff>
      <xdr:row>17</xdr:row>
      <xdr:rowOff>21555</xdr:rowOff>
    </xdr:to>
    <xdr:sp macro="" textlink="">
      <xdr:nvSpPr>
        <xdr:cNvPr id="33" name="ZoneTexte 32"/>
        <xdr:cNvSpPr txBox="1"/>
      </xdr:nvSpPr>
      <xdr:spPr>
        <a:xfrm>
          <a:off x="4694709" y="4552950"/>
          <a:ext cx="636671" cy="212055"/>
        </a:xfrm>
        <a:prstGeom prst="rect">
          <a:avLst/>
        </a:prstGeom>
        <a:solidFill>
          <a:srgbClr val="0070C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2</a:t>
          </a:r>
          <a:r>
            <a:rPr lang="fr-FR" sz="1100" b="1"/>
            <a:t> &gt; 0</a:t>
          </a:r>
          <a:endParaRPr lang="fr-FR" sz="1100" b="1" baseline="-25000"/>
        </a:p>
      </xdr:txBody>
    </xdr:sp>
    <xdr:clientData/>
  </xdr:twoCellAnchor>
  <xdr:twoCellAnchor>
    <xdr:from>
      <xdr:col>1</xdr:col>
      <xdr:colOff>1907244</xdr:colOff>
      <xdr:row>18</xdr:row>
      <xdr:rowOff>23561</xdr:rowOff>
    </xdr:from>
    <xdr:to>
      <xdr:col>1</xdr:col>
      <xdr:colOff>3183594</xdr:colOff>
      <xdr:row>19</xdr:row>
      <xdr:rowOff>128336</xdr:rowOff>
    </xdr:to>
    <xdr:sp macro="" textlink="">
      <xdr:nvSpPr>
        <xdr:cNvPr id="38" name="ZoneTexte 37"/>
        <xdr:cNvSpPr txBox="1"/>
      </xdr:nvSpPr>
      <xdr:spPr>
        <a:xfrm>
          <a:off x="2467538" y="4080090"/>
          <a:ext cx="1276350" cy="261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contact conformel</a:t>
          </a:r>
        </a:p>
      </xdr:txBody>
    </xdr:sp>
    <xdr:clientData/>
  </xdr:twoCellAnchor>
  <xdr:twoCellAnchor>
    <xdr:from>
      <xdr:col>2</xdr:col>
      <xdr:colOff>283967</xdr:colOff>
      <xdr:row>18</xdr:row>
      <xdr:rowOff>23561</xdr:rowOff>
    </xdr:from>
    <xdr:to>
      <xdr:col>4</xdr:col>
      <xdr:colOff>304351</xdr:colOff>
      <xdr:row>19</xdr:row>
      <xdr:rowOff>128336</xdr:rowOff>
    </xdr:to>
    <xdr:sp macro="" textlink="">
      <xdr:nvSpPr>
        <xdr:cNvPr id="39" name="ZoneTexte 38"/>
        <xdr:cNvSpPr txBox="1"/>
      </xdr:nvSpPr>
      <xdr:spPr>
        <a:xfrm>
          <a:off x="4273261" y="4080090"/>
          <a:ext cx="1544384" cy="261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contact contraformel</a:t>
          </a:r>
        </a:p>
      </xdr:txBody>
    </xdr:sp>
    <xdr:clientData/>
  </xdr:twoCellAnchor>
  <xdr:oneCellAnchor>
    <xdr:from>
      <xdr:col>0</xdr:col>
      <xdr:colOff>116542</xdr:colOff>
      <xdr:row>22</xdr:row>
      <xdr:rowOff>131108</xdr:rowOff>
    </xdr:from>
    <xdr:ext cx="1442424" cy="436914"/>
    <mc:AlternateContent xmlns:mc="http://schemas.openxmlformats.org/markup-compatibility/2006" xmlns:a14="http://schemas.microsoft.com/office/drawing/2010/main">
      <mc:Choice Requires="a14">
        <xdr:sp macro="" textlink="">
          <xdr:nvSpPr>
            <xdr:cNvPr id="41" name="ZoneTexte 40"/>
            <xdr:cNvSpPr txBox="1"/>
          </xdr:nvSpPr>
          <xdr:spPr>
            <a:xfrm>
              <a:off x="116542" y="4912658"/>
              <a:ext cx="1442424"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𝑒𝑞𝑢𝑖𝑣</m:t>
                        </m:r>
                      </m:sub>
                    </m:sSub>
                    <m:r>
                      <a:rPr lang="fr-FR" sz="1100" b="0" i="1">
                        <a:solidFill>
                          <a:schemeClr val="tx1"/>
                        </a:solidFill>
                        <a:effectLst/>
                        <a:latin typeface="Cambria Math"/>
                        <a:ea typeface="+mn-ea"/>
                        <a:cs typeface="+mn-cs"/>
                      </a:rPr>
                      <m:t>=</m:t>
                    </m:r>
                    <m:f>
                      <m:fPr>
                        <m:ctrlPr>
                          <a:rPr lang="fr-FR" sz="1100" b="0" i="1">
                            <a:solidFill>
                              <a:schemeClr val="tx1"/>
                            </a:solidFill>
                            <a:effectLst/>
                            <a:latin typeface="Cambria Math" panose="02040503050406030204" pitchFamily="18" charset="0"/>
                            <a:ea typeface="+mn-ea"/>
                            <a:cs typeface="+mn-cs"/>
                          </a:rPr>
                        </m:ctrlPr>
                      </m:fPr>
                      <m:num>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1</m:t>
                            </m:r>
                          </m:sub>
                        </m:sSub>
                        <m:r>
                          <a:rPr lang="fr-FR" sz="1100" b="0" i="1">
                            <a:solidFill>
                              <a:schemeClr val="tx1"/>
                            </a:solidFill>
                            <a:effectLst/>
                            <a:latin typeface="Cambria Math"/>
                            <a:ea typeface="+mn-ea"/>
                            <a:cs typeface="+mn-cs"/>
                          </a:rPr>
                          <m:t>.</m:t>
                        </m:r>
                        <m:sSub>
                          <m:sSubPr>
                            <m:ctrlPr>
                              <a:rPr lang="fr-FR" sz="1100" b="0" i="1">
                                <a:solidFill>
                                  <a:schemeClr val="tx1"/>
                                </a:solidFill>
                                <a:effectLst/>
                                <a:latin typeface="Cambria Math" panose="02040503050406030204" pitchFamily="18" charset="0"/>
                                <a:ea typeface="Cambria Math"/>
                                <a:cs typeface="+mn-cs"/>
                              </a:rPr>
                            </m:ctrlPr>
                          </m:sSubPr>
                          <m:e>
                            <m:r>
                              <a:rPr lang="fr-FR" sz="1100" b="0" i="1">
                                <a:solidFill>
                                  <a:schemeClr val="tx1"/>
                                </a:solidFill>
                                <a:effectLst/>
                                <a:latin typeface="Cambria Math"/>
                                <a:ea typeface="Cambria Math"/>
                                <a:cs typeface="+mn-cs"/>
                              </a:rPr>
                              <m:t>𝑅</m:t>
                            </m:r>
                          </m:e>
                          <m:sub>
                            <m:r>
                              <a:rPr lang="fr-FR" sz="1100" b="0" i="1">
                                <a:solidFill>
                                  <a:schemeClr val="tx1"/>
                                </a:solidFill>
                                <a:effectLst/>
                                <a:latin typeface="Cambria Math"/>
                                <a:ea typeface="Cambria Math"/>
                                <a:cs typeface="+mn-cs"/>
                              </a:rPr>
                              <m:t>2</m:t>
                            </m:r>
                          </m:sub>
                        </m:sSub>
                      </m:num>
                      <m:den>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1</m:t>
                            </m:r>
                          </m:sub>
                        </m:sSub>
                        <m:r>
                          <a:rPr lang="fr-FR" sz="1100" b="0" i="1">
                            <a:solidFill>
                              <a:schemeClr val="tx1"/>
                            </a:solidFill>
                            <a:effectLst/>
                            <a:latin typeface="Cambria Math"/>
                            <a:ea typeface="+mn-ea"/>
                            <a:cs typeface="+mn-cs"/>
                          </a:rPr>
                          <m:t>+</m:t>
                        </m:r>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2</m:t>
                            </m:r>
                          </m:sub>
                        </m:sSub>
                      </m:den>
                    </m:f>
                  </m:oMath>
                </m:oMathPara>
              </a14:m>
              <a:endParaRPr lang="fr-FR" sz="1100"/>
            </a:p>
          </xdr:txBody>
        </xdr:sp>
      </mc:Choice>
      <mc:Fallback xmlns="">
        <xdr:sp macro="" textlink="">
          <xdr:nvSpPr>
            <xdr:cNvPr id="41" name="ZoneTexte 40"/>
            <xdr:cNvSpPr txBox="1"/>
          </xdr:nvSpPr>
          <xdr:spPr>
            <a:xfrm>
              <a:off x="116542" y="4912658"/>
              <a:ext cx="1442424"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solidFill>
                    <a:schemeClr val="tx1"/>
                  </a:solidFill>
                  <a:effectLst/>
                  <a:latin typeface="Cambria Math"/>
                  <a:ea typeface="+mn-ea"/>
                  <a:cs typeface="+mn-cs"/>
                </a:rPr>
                <a:t>𝑅_𝑒𝑞𝑢𝑖𝑣=(𝑅_1.</a:t>
              </a:r>
              <a:r>
                <a:rPr lang="fr-FR" sz="1100" b="0" i="0">
                  <a:solidFill>
                    <a:schemeClr val="tx1"/>
                  </a:solidFill>
                  <a:effectLst/>
                  <a:latin typeface="Cambria Math"/>
                  <a:ea typeface="Cambria Math"/>
                  <a:cs typeface="+mn-cs"/>
                </a:rPr>
                <a:t>𝑅_2</a:t>
              </a:r>
              <a:r>
                <a:rPr lang="fr-FR" sz="1100" b="0" i="0">
                  <a:solidFill>
                    <a:schemeClr val="tx1"/>
                  </a:solidFill>
                  <a:effectLst/>
                  <a:latin typeface="Cambria Math"/>
                  <a:ea typeface="+mn-ea"/>
                  <a:cs typeface="+mn-cs"/>
                </a:rPr>
                <a:t>)/(𝑅_1+𝑅_2 )</a:t>
              </a:r>
              <a:endParaRPr lang="fr-FR" sz="1100"/>
            </a:p>
          </xdr:txBody>
        </xdr:sp>
      </mc:Fallback>
    </mc:AlternateContent>
    <xdr:clientData/>
  </xdr:oneCellAnchor>
  <xdr:oneCellAnchor>
    <xdr:from>
      <xdr:col>1</xdr:col>
      <xdr:colOff>967629</xdr:colOff>
      <xdr:row>22</xdr:row>
      <xdr:rowOff>143997</xdr:rowOff>
    </xdr:from>
    <xdr:ext cx="1089771" cy="462371"/>
    <mc:AlternateContent xmlns:mc="http://schemas.openxmlformats.org/markup-compatibility/2006" xmlns:a14="http://schemas.microsoft.com/office/drawing/2010/main">
      <mc:Choice Requires="a14">
        <xdr:sp macro="" textlink="">
          <xdr:nvSpPr>
            <xdr:cNvPr id="42" name="ZoneTexte 41"/>
            <xdr:cNvSpPr txBox="1"/>
          </xdr:nvSpPr>
          <xdr:spPr>
            <a:xfrm>
              <a:off x="1529604" y="4925547"/>
              <a:ext cx="1089771" cy="462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a:rPr>
                          <m:t>𝐾</m:t>
                        </m:r>
                      </m:e>
                      <m:sub>
                        <m:r>
                          <a:rPr lang="fr-FR" sz="1100" b="0" i="1">
                            <a:latin typeface="Cambria Math"/>
                          </a:rPr>
                          <m:t>𝑖</m:t>
                        </m:r>
                      </m:sub>
                    </m:sSub>
                    <m:r>
                      <a:rPr lang="fr-FR" sz="1100" b="0" i="1">
                        <a:latin typeface="Cambria Math"/>
                      </a:rPr>
                      <m:t>=</m:t>
                    </m:r>
                    <m:f>
                      <m:fPr>
                        <m:ctrlPr>
                          <a:rPr lang="fr-FR" sz="1100" b="0" i="1">
                            <a:latin typeface="Cambria Math" panose="02040503050406030204" pitchFamily="18" charset="0"/>
                          </a:rPr>
                        </m:ctrlPr>
                      </m:fPr>
                      <m:num>
                        <m:r>
                          <a:rPr lang="fr-FR" sz="1100" b="0" i="1">
                            <a:latin typeface="Cambria Math"/>
                          </a:rPr>
                          <m:t>1−</m:t>
                        </m:r>
                        <m:sSubSup>
                          <m:sSubSupPr>
                            <m:ctrlPr>
                              <a:rPr lang="fr-FR" sz="1100" b="0" i="1">
                                <a:latin typeface="Cambria Math" panose="02040503050406030204" pitchFamily="18" charset="0"/>
                              </a:rPr>
                            </m:ctrlPr>
                          </m:sSubSupPr>
                          <m:e>
                            <m:r>
                              <m:rPr>
                                <m:sty m:val="p"/>
                              </m:rPr>
                              <a:rPr lang="el-GR" sz="1100" b="0" i="1">
                                <a:latin typeface="Cambria Math"/>
                              </a:rPr>
                              <m:t>ν</m:t>
                            </m:r>
                          </m:e>
                          <m:sub>
                            <m:r>
                              <a:rPr lang="fr-FR" sz="1100" b="0" i="1">
                                <a:latin typeface="Cambria Math"/>
                              </a:rPr>
                              <m:t>𝑖</m:t>
                            </m:r>
                          </m:sub>
                          <m:sup>
                            <m:r>
                              <a:rPr lang="fr-FR" sz="1100" b="0" i="1">
                                <a:latin typeface="Cambria Math"/>
                              </a:rPr>
                              <m:t>2</m:t>
                            </m:r>
                          </m:sup>
                        </m:sSubSup>
                      </m:num>
                      <m:den>
                        <m:r>
                          <a:rPr lang="fr-FR" sz="1100" b="0" i="1">
                            <a:latin typeface="Cambria Math"/>
                            <a:ea typeface="Cambria Math"/>
                          </a:rPr>
                          <m:t>𝜋</m:t>
                        </m:r>
                        <m:r>
                          <a:rPr lang="fr-FR" sz="1100" b="0" i="1">
                            <a:latin typeface="Cambria Math"/>
                            <a:ea typeface="Cambria Math"/>
                          </a:rPr>
                          <m:t>.</m:t>
                        </m:r>
                        <m:sSub>
                          <m:sSubPr>
                            <m:ctrlPr>
                              <a:rPr lang="fr-FR" sz="1100" b="0" i="1">
                                <a:latin typeface="Cambria Math" panose="02040503050406030204" pitchFamily="18" charset="0"/>
                              </a:rPr>
                            </m:ctrlPr>
                          </m:sSubPr>
                          <m:e>
                            <m:r>
                              <a:rPr lang="fr-FR" sz="1100" b="0" i="1">
                                <a:latin typeface="Cambria Math"/>
                              </a:rPr>
                              <m:t>𝐸</m:t>
                            </m:r>
                          </m:e>
                          <m:sub>
                            <m:r>
                              <a:rPr lang="fr-FR" sz="1100" b="0" i="1">
                                <a:latin typeface="Cambria Math"/>
                              </a:rPr>
                              <m:t>𝑖</m:t>
                            </m:r>
                          </m:sub>
                        </m:sSub>
                      </m:den>
                    </m:f>
                  </m:oMath>
                </m:oMathPara>
              </a14:m>
              <a:endParaRPr lang="fr-FR" sz="1100"/>
            </a:p>
          </xdr:txBody>
        </xdr:sp>
      </mc:Choice>
      <mc:Fallback xmlns="">
        <xdr:sp macro="" textlink="">
          <xdr:nvSpPr>
            <xdr:cNvPr id="42" name="ZoneTexte 41"/>
            <xdr:cNvSpPr txBox="1"/>
          </xdr:nvSpPr>
          <xdr:spPr>
            <a:xfrm>
              <a:off x="1529604" y="4925547"/>
              <a:ext cx="1089771" cy="462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latin typeface="Cambria Math"/>
                </a:rPr>
                <a:t>𝐾_𝑖=(1−</a:t>
              </a:r>
              <a:r>
                <a:rPr lang="el-GR" sz="1100" b="0" i="0">
                  <a:latin typeface="Cambria Math"/>
                </a:rPr>
                <a:t>ν</a:t>
              </a:r>
              <a:r>
                <a:rPr lang="fr-FR" sz="1100" b="0" i="0">
                  <a:latin typeface="Cambria Math"/>
                </a:rPr>
                <a:t>_𝑖^2)/(</a:t>
              </a:r>
              <a:r>
                <a:rPr lang="fr-FR" sz="1100" b="0" i="0">
                  <a:latin typeface="Cambria Math"/>
                  <a:ea typeface="Cambria Math"/>
                </a:rPr>
                <a:t>𝜋.</a:t>
              </a:r>
              <a:r>
                <a:rPr lang="fr-FR" sz="1100" b="0" i="0">
                  <a:latin typeface="Cambria Math"/>
                </a:rPr>
                <a:t>𝐸_𝑖 )</a:t>
              </a:r>
              <a:endParaRPr lang="fr-FR" sz="1100"/>
            </a:p>
          </xdr:txBody>
        </xdr:sp>
      </mc:Fallback>
    </mc:AlternateContent>
    <xdr:clientData/>
  </xdr:oneCellAnchor>
  <xdr:oneCellAnchor>
    <xdr:from>
      <xdr:col>1</xdr:col>
      <xdr:colOff>2080446</xdr:colOff>
      <xdr:row>22</xdr:row>
      <xdr:rowOff>106456</xdr:rowOff>
    </xdr:from>
    <xdr:ext cx="2748729" cy="480581"/>
    <mc:AlternateContent xmlns:mc="http://schemas.openxmlformats.org/markup-compatibility/2006" xmlns:a14="http://schemas.microsoft.com/office/drawing/2010/main">
      <mc:Choice Requires="a14">
        <xdr:sp macro="" textlink="">
          <xdr:nvSpPr>
            <xdr:cNvPr id="43" name="ZoneTexte 42"/>
            <xdr:cNvSpPr txBox="1"/>
          </xdr:nvSpPr>
          <xdr:spPr>
            <a:xfrm>
              <a:off x="2642421" y="4888006"/>
              <a:ext cx="2748729" cy="4805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i="1">
                        <a:latin typeface="Cambria Math"/>
                      </a:rPr>
                      <m:t>𝑏</m:t>
                    </m:r>
                    <m:r>
                      <a:rPr lang="fr-FR" sz="1100" b="0" i="1">
                        <a:latin typeface="Cambria Math"/>
                      </a:rPr>
                      <m:t>=</m:t>
                    </m:r>
                    <m:sSup>
                      <m:sSupPr>
                        <m:ctrlPr>
                          <a:rPr lang="fr-FR" sz="1100" b="0" i="1">
                            <a:latin typeface="Cambria Math" panose="02040503050406030204" pitchFamily="18" charset="0"/>
                          </a:rPr>
                        </m:ctrlPr>
                      </m:sSupPr>
                      <m:e>
                        <m:d>
                          <m:dPr>
                            <m:begChr m:val="["/>
                            <m:endChr m:val="]"/>
                            <m:ctrlPr>
                              <a:rPr lang="fr-FR" sz="1100" b="0" i="1">
                                <a:latin typeface="Cambria Math" panose="02040503050406030204" pitchFamily="18" charset="0"/>
                              </a:rPr>
                            </m:ctrlPr>
                          </m:dPr>
                          <m:e>
                            <m:f>
                              <m:fPr>
                                <m:ctrlPr>
                                  <a:rPr lang="fr-FR" sz="1100" b="0" i="1">
                                    <a:latin typeface="Cambria Math" panose="02040503050406030204" pitchFamily="18" charset="0"/>
                                  </a:rPr>
                                </m:ctrlPr>
                              </m:fPr>
                              <m:num>
                                <m:r>
                                  <a:rPr lang="fr-FR" sz="1100" b="0" i="1">
                                    <a:latin typeface="Cambria Math"/>
                                  </a:rPr>
                                  <m:t>3</m:t>
                                </m:r>
                                <m:r>
                                  <a:rPr lang="fr-FR" sz="1100" b="0" i="1">
                                    <a:latin typeface="Cambria Math"/>
                                    <a:ea typeface="Cambria Math"/>
                                  </a:rPr>
                                  <m:t>𝜋</m:t>
                                </m:r>
                              </m:num>
                              <m:den>
                                <m:r>
                                  <a:rPr lang="fr-FR" sz="1100" b="0" i="1">
                                    <a:latin typeface="Cambria Math"/>
                                  </a:rPr>
                                  <m:t>4</m:t>
                                </m:r>
                              </m:den>
                            </m:f>
                            <m:r>
                              <a:rPr lang="fr-FR" sz="1100" b="0" i="1">
                                <a:latin typeface="Cambria Math"/>
                                <a:ea typeface="Cambria Math"/>
                              </a:rPr>
                              <m:t>×</m:t>
                            </m:r>
                            <m:sSub>
                              <m:sSubPr>
                                <m:ctrlPr>
                                  <a:rPr lang="fr-FR" sz="1100" b="0" i="1">
                                    <a:latin typeface="Cambria Math" panose="02040503050406030204" pitchFamily="18" charset="0"/>
                                    <a:ea typeface="Cambria Math"/>
                                  </a:rPr>
                                </m:ctrlPr>
                              </m:sSubPr>
                              <m:e>
                                <m:r>
                                  <a:rPr lang="fr-FR" sz="1100" b="0" i="1">
                                    <a:latin typeface="Cambria Math"/>
                                    <a:ea typeface="Cambria Math"/>
                                  </a:rPr>
                                  <m:t>𝐹</m:t>
                                </m:r>
                              </m:e>
                              <m:sub>
                                <m:r>
                                  <a:rPr lang="fr-FR" sz="1100" b="0" i="1">
                                    <a:latin typeface="Cambria Math"/>
                                    <a:ea typeface="Cambria Math"/>
                                  </a:rPr>
                                  <m:t>𝑁</m:t>
                                </m:r>
                              </m:sub>
                            </m:sSub>
                            <m:r>
                              <a:rPr lang="fr-FR" sz="1100" b="0" i="1">
                                <a:latin typeface="Cambria Math"/>
                                <a:ea typeface="Cambria Math"/>
                              </a:rPr>
                              <m:t>×</m:t>
                            </m:r>
                            <m:d>
                              <m:dPr>
                                <m:ctrlPr>
                                  <a:rPr lang="fr-FR" sz="1100" b="0" i="1">
                                    <a:latin typeface="Cambria Math" panose="02040503050406030204" pitchFamily="18" charset="0"/>
                                    <a:ea typeface="Cambria Math"/>
                                  </a:rPr>
                                </m:ctrlPr>
                              </m:dPr>
                              <m:e>
                                <m:sSub>
                                  <m:sSubPr>
                                    <m:ctrlPr>
                                      <a:rPr lang="fr-FR" sz="1100" b="0" i="1">
                                        <a:latin typeface="Cambria Math" panose="02040503050406030204" pitchFamily="18" charset="0"/>
                                        <a:ea typeface="Cambria Math"/>
                                      </a:rPr>
                                    </m:ctrlPr>
                                  </m:sSubPr>
                                  <m:e>
                                    <m:r>
                                      <a:rPr lang="fr-FR" sz="1100" b="0" i="1">
                                        <a:latin typeface="Cambria Math"/>
                                        <a:ea typeface="Cambria Math"/>
                                      </a:rPr>
                                      <m:t>𝐾</m:t>
                                    </m:r>
                                  </m:e>
                                  <m:sub>
                                    <m:r>
                                      <a:rPr lang="fr-FR" sz="1100" b="0" i="1">
                                        <a:latin typeface="Cambria Math"/>
                                        <a:ea typeface="Cambria Math"/>
                                      </a:rPr>
                                      <m:t>1</m:t>
                                    </m:r>
                                  </m:sub>
                                </m:sSub>
                                <m:r>
                                  <a:rPr lang="fr-FR" sz="1100" b="0" i="1">
                                    <a:latin typeface="Cambria Math"/>
                                    <a:ea typeface="Cambria Math"/>
                                  </a:rPr>
                                  <m:t>+</m:t>
                                </m:r>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𝐾</m:t>
                                    </m:r>
                                  </m:e>
                                  <m:sub>
                                    <m:r>
                                      <a:rPr lang="fr-FR" sz="1100" b="0" i="1">
                                        <a:solidFill>
                                          <a:schemeClr val="tx1"/>
                                        </a:solidFill>
                                        <a:effectLst/>
                                        <a:latin typeface="Cambria Math"/>
                                        <a:ea typeface="+mn-ea"/>
                                        <a:cs typeface="+mn-cs"/>
                                      </a:rPr>
                                      <m:t>2</m:t>
                                    </m:r>
                                  </m:sub>
                                </m:sSub>
                              </m:e>
                            </m:d>
                            <m:r>
                              <a:rPr lang="fr-FR" sz="1100" b="0" i="1">
                                <a:latin typeface="Cambria Math"/>
                                <a:ea typeface="Cambria Math"/>
                              </a:rPr>
                              <m:t>×</m:t>
                            </m:r>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𝑒𝑞𝑢𝑖𝑣</m:t>
                                </m:r>
                              </m:sub>
                            </m:sSub>
                          </m:e>
                        </m:d>
                      </m:e>
                      <m:sup>
                        <m:f>
                          <m:fPr>
                            <m:type m:val="skw"/>
                            <m:ctrlPr>
                              <a:rPr lang="fr-FR" sz="1100" b="0" i="1">
                                <a:latin typeface="Cambria Math" panose="02040503050406030204" pitchFamily="18" charset="0"/>
                              </a:rPr>
                            </m:ctrlPr>
                          </m:fPr>
                          <m:num>
                            <m:r>
                              <a:rPr lang="fr-FR" sz="1100" b="0" i="1">
                                <a:latin typeface="Cambria Math"/>
                              </a:rPr>
                              <m:t>1</m:t>
                            </m:r>
                          </m:num>
                          <m:den>
                            <m:r>
                              <a:rPr lang="fr-FR" sz="1100" b="0" i="1">
                                <a:latin typeface="Cambria Math"/>
                              </a:rPr>
                              <m:t>3</m:t>
                            </m:r>
                          </m:den>
                        </m:f>
                      </m:sup>
                    </m:sSup>
                  </m:oMath>
                </m:oMathPara>
              </a14:m>
              <a:endParaRPr lang="fr-FR" sz="1100"/>
            </a:p>
          </xdr:txBody>
        </xdr:sp>
      </mc:Choice>
      <mc:Fallback xmlns="">
        <xdr:sp macro="" textlink="">
          <xdr:nvSpPr>
            <xdr:cNvPr id="43" name="ZoneTexte 42"/>
            <xdr:cNvSpPr txBox="1"/>
          </xdr:nvSpPr>
          <xdr:spPr>
            <a:xfrm>
              <a:off x="2642421" y="4888006"/>
              <a:ext cx="2748729" cy="4805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i="0">
                  <a:latin typeface="Cambria Math"/>
                </a:rPr>
                <a:t>𝑏</a:t>
              </a:r>
              <a:r>
                <a:rPr lang="fr-FR" sz="1100" b="0" i="0">
                  <a:latin typeface="Cambria Math"/>
                </a:rPr>
                <a:t>=[3</a:t>
              </a:r>
              <a:r>
                <a:rPr lang="fr-FR" sz="1100" b="0" i="0">
                  <a:latin typeface="Cambria Math"/>
                  <a:ea typeface="Cambria Math"/>
                </a:rPr>
                <a:t>𝜋/</a:t>
              </a:r>
              <a:r>
                <a:rPr lang="fr-FR" sz="1100" b="0" i="0">
                  <a:latin typeface="Cambria Math"/>
                </a:rPr>
                <a:t>4</a:t>
              </a:r>
              <a:r>
                <a:rPr lang="fr-FR" sz="1100" b="0" i="0">
                  <a:latin typeface="Cambria Math"/>
                  <a:ea typeface="Cambria Math"/>
                </a:rPr>
                <a:t>×𝐹_𝑁×(𝐾_1+</a:t>
              </a:r>
              <a:r>
                <a:rPr lang="fr-FR" sz="1100" b="0" i="0">
                  <a:solidFill>
                    <a:schemeClr val="tx1"/>
                  </a:solidFill>
                  <a:effectLst/>
                  <a:latin typeface="Cambria Math"/>
                  <a:ea typeface="+mn-ea"/>
                  <a:cs typeface="+mn-cs"/>
                </a:rPr>
                <a:t>𝐾_2 )</a:t>
              </a:r>
              <a:r>
                <a:rPr lang="fr-FR" sz="1100" b="0" i="0">
                  <a:latin typeface="Cambria Math"/>
                  <a:ea typeface="Cambria Math"/>
                </a:rPr>
                <a:t>×</a:t>
              </a:r>
              <a:r>
                <a:rPr lang="fr-FR" sz="1100" b="0" i="0">
                  <a:solidFill>
                    <a:schemeClr val="tx1"/>
                  </a:solidFill>
                  <a:effectLst/>
                  <a:latin typeface="Cambria Math"/>
                  <a:ea typeface="+mn-ea"/>
                  <a:cs typeface="+mn-cs"/>
                </a:rPr>
                <a:t>𝑅_𝑒𝑞𝑢𝑖𝑣 ]^(</a:t>
              </a:r>
              <a:r>
                <a:rPr lang="fr-FR" sz="1100" b="0" i="0">
                  <a:latin typeface="Cambria Math"/>
                </a:rPr>
                <a:t>1⁄3)</a:t>
              </a:r>
              <a:endParaRPr lang="fr-FR" sz="1100"/>
            </a:p>
          </xdr:txBody>
        </xdr:sp>
      </mc:Fallback>
    </mc:AlternateContent>
    <xdr:clientData/>
  </xdr:oneCellAnchor>
  <xdr:oneCellAnchor>
    <xdr:from>
      <xdr:col>5</xdr:col>
      <xdr:colOff>541805</xdr:colOff>
      <xdr:row>22</xdr:row>
      <xdr:rowOff>97540</xdr:rowOff>
    </xdr:from>
    <xdr:ext cx="1504950" cy="592470"/>
    <mc:AlternateContent xmlns:mc="http://schemas.openxmlformats.org/markup-compatibility/2006" xmlns:a14="http://schemas.microsoft.com/office/drawing/2010/main">
      <mc:Choice Requires="a14">
        <xdr:sp macro="" textlink="">
          <xdr:nvSpPr>
            <xdr:cNvPr id="44" name="ZoneTexte 43"/>
            <xdr:cNvSpPr txBox="1"/>
          </xdr:nvSpPr>
          <xdr:spPr>
            <a:xfrm>
              <a:off x="6818780" y="4879090"/>
              <a:ext cx="15049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𝑃</m:t>
                    </m:r>
                    <m:d>
                      <m:dPr>
                        <m:ctrlPr>
                          <a:rPr lang="fr-FR" sz="1100" b="0" i="1">
                            <a:latin typeface="Cambria Math" panose="02040503050406030204" pitchFamily="18" charset="0"/>
                          </a:rPr>
                        </m:ctrlPr>
                      </m:dPr>
                      <m:e>
                        <m:r>
                          <a:rPr lang="fr-FR" sz="1100" b="0" i="1">
                            <a:latin typeface="Cambria Math"/>
                          </a:rPr>
                          <m:t>𝑟</m:t>
                        </m:r>
                      </m:e>
                    </m:d>
                    <m:r>
                      <a:rPr lang="fr-FR" sz="1100" b="0" i="1">
                        <a:latin typeface="Cambria Math"/>
                      </a:rPr>
                      <m:t>=</m:t>
                    </m:r>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𝑃</m:t>
                        </m:r>
                      </m:e>
                      <m:sub>
                        <m:r>
                          <a:rPr lang="fr-FR" sz="1100" b="0" i="1">
                            <a:solidFill>
                              <a:schemeClr val="tx1"/>
                            </a:solidFill>
                            <a:effectLst/>
                            <a:latin typeface="Cambria Math"/>
                            <a:ea typeface="+mn-ea"/>
                            <a:cs typeface="+mn-cs"/>
                          </a:rPr>
                          <m:t>𝑂</m:t>
                        </m:r>
                      </m:sub>
                    </m:sSub>
                    <m:r>
                      <a:rPr lang="fr-FR" sz="1100" b="0" i="1">
                        <a:latin typeface="Cambria Math"/>
                        <a:ea typeface="Cambria Math"/>
                      </a:rPr>
                      <m:t>×</m:t>
                    </m:r>
                    <m:rad>
                      <m:radPr>
                        <m:degHide m:val="on"/>
                        <m:ctrlPr>
                          <a:rPr lang="fr-FR" sz="1100" b="0" i="1">
                            <a:latin typeface="Cambria Math" panose="02040503050406030204" pitchFamily="18" charset="0"/>
                          </a:rPr>
                        </m:ctrlPr>
                      </m:radPr>
                      <m:deg/>
                      <m:e>
                        <m:r>
                          <a:rPr lang="fr-FR" sz="1100" b="0" i="1">
                            <a:latin typeface="Cambria Math"/>
                          </a:rPr>
                          <m:t>1−</m:t>
                        </m:r>
                        <m:f>
                          <m:fPr>
                            <m:ctrlPr>
                              <a:rPr lang="fr-FR" sz="1100" b="0" i="1">
                                <a:latin typeface="Cambria Math" panose="02040503050406030204" pitchFamily="18" charset="0"/>
                                <a:ea typeface="Cambria Math"/>
                              </a:rPr>
                            </m:ctrlPr>
                          </m:fPr>
                          <m:num>
                            <m:sSup>
                              <m:sSupPr>
                                <m:ctrlPr>
                                  <a:rPr lang="fr-FR" sz="1100" b="0" i="1">
                                    <a:latin typeface="Cambria Math" panose="02040503050406030204" pitchFamily="18" charset="0"/>
                                    <a:ea typeface="Cambria Math"/>
                                  </a:rPr>
                                </m:ctrlPr>
                              </m:sSupPr>
                              <m:e>
                                <m:r>
                                  <a:rPr lang="fr-FR" sz="1100" b="0" i="1">
                                    <a:latin typeface="Cambria Math"/>
                                    <a:ea typeface="Cambria Math"/>
                                  </a:rPr>
                                  <m:t>𝑟</m:t>
                                </m:r>
                              </m:e>
                              <m:sup>
                                <m:r>
                                  <a:rPr lang="fr-FR" sz="1100" b="0" i="1">
                                    <a:latin typeface="Cambria Math"/>
                                    <a:ea typeface="Cambria Math"/>
                                  </a:rPr>
                                  <m:t>2</m:t>
                                </m:r>
                              </m:sup>
                            </m:sSup>
                          </m:num>
                          <m:den>
                            <m:sSup>
                              <m:sSupPr>
                                <m:ctrlPr>
                                  <a:rPr lang="fr-FR" sz="1100" b="0" i="1">
                                    <a:latin typeface="Cambria Math" panose="02040503050406030204" pitchFamily="18" charset="0"/>
                                    <a:ea typeface="Cambria Math"/>
                                  </a:rPr>
                                </m:ctrlPr>
                              </m:sSupPr>
                              <m:e>
                                <m:r>
                                  <a:rPr lang="fr-FR" sz="1100" b="0" i="1">
                                    <a:latin typeface="Cambria Math"/>
                                    <a:ea typeface="Cambria Math"/>
                                  </a:rPr>
                                  <m:t>𝑏</m:t>
                                </m:r>
                              </m:e>
                              <m:sup>
                                <m:r>
                                  <a:rPr lang="fr-FR" sz="1100" b="0" i="1">
                                    <a:latin typeface="Cambria Math"/>
                                    <a:ea typeface="Cambria Math"/>
                                  </a:rPr>
                                  <m:t>2</m:t>
                                </m:r>
                              </m:sup>
                            </m:sSup>
                          </m:den>
                        </m:f>
                      </m:e>
                    </m:rad>
                  </m:oMath>
                </m:oMathPara>
              </a14:m>
              <a:endParaRPr lang="fr-FR" sz="1100"/>
            </a:p>
          </xdr:txBody>
        </xdr:sp>
      </mc:Choice>
      <mc:Fallback xmlns="">
        <xdr:sp macro="" textlink="">
          <xdr:nvSpPr>
            <xdr:cNvPr id="44" name="ZoneTexte 43"/>
            <xdr:cNvSpPr txBox="1"/>
          </xdr:nvSpPr>
          <xdr:spPr>
            <a:xfrm>
              <a:off x="6818780" y="4879090"/>
              <a:ext cx="15049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latin typeface="Cambria Math"/>
                </a:rPr>
                <a:t>𝑃(𝑟)=</a:t>
              </a:r>
              <a:r>
                <a:rPr lang="fr-FR" sz="1100" b="0" i="0">
                  <a:solidFill>
                    <a:schemeClr val="tx1"/>
                  </a:solidFill>
                  <a:effectLst/>
                  <a:latin typeface="Cambria Math"/>
                  <a:ea typeface="+mn-ea"/>
                  <a:cs typeface="+mn-cs"/>
                </a:rPr>
                <a:t>𝑃_𝑂</a:t>
              </a:r>
              <a:r>
                <a:rPr lang="fr-FR" sz="1100" b="0" i="0">
                  <a:latin typeface="Cambria Math"/>
                  <a:ea typeface="Cambria Math"/>
                </a:rPr>
                <a:t>×</a:t>
              </a:r>
              <a:r>
                <a:rPr lang="fr-FR" sz="1100" b="0" i="0">
                  <a:latin typeface="Cambria Math"/>
                </a:rPr>
                <a:t>√(1−</a:t>
              </a:r>
              <a:r>
                <a:rPr lang="fr-FR" sz="1100" b="0" i="0">
                  <a:latin typeface="Cambria Math"/>
                  <a:ea typeface="Cambria Math"/>
                </a:rPr>
                <a:t>𝑟^2/𝑏^2 )</a:t>
              </a:r>
              <a:endParaRPr lang="fr-FR" sz="1100"/>
            </a:p>
          </xdr:txBody>
        </xdr:sp>
      </mc:Fallback>
    </mc:AlternateContent>
    <xdr:clientData/>
  </xdr:oneCellAnchor>
  <xdr:twoCellAnchor>
    <xdr:from>
      <xdr:col>1</xdr:col>
      <xdr:colOff>257175</xdr:colOff>
      <xdr:row>10</xdr:row>
      <xdr:rowOff>47625</xdr:rowOff>
    </xdr:from>
    <xdr:to>
      <xdr:col>1</xdr:col>
      <xdr:colOff>547066</xdr:colOff>
      <xdr:row>11</xdr:row>
      <xdr:rowOff>155146</xdr:rowOff>
    </xdr:to>
    <xdr:sp macro="" textlink="">
      <xdr:nvSpPr>
        <xdr:cNvPr id="45" name="ZoneTexte 44"/>
        <xdr:cNvSpPr txBox="1"/>
      </xdr:nvSpPr>
      <xdr:spPr>
        <a:xfrm>
          <a:off x="819150" y="3657600"/>
          <a:ext cx="289891" cy="26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O</a:t>
          </a:r>
        </a:p>
      </xdr:txBody>
    </xdr:sp>
    <xdr:clientData/>
  </xdr:twoCellAnchor>
  <xdr:twoCellAnchor>
    <xdr:from>
      <xdr:col>1</xdr:col>
      <xdr:colOff>2364444</xdr:colOff>
      <xdr:row>10</xdr:row>
      <xdr:rowOff>133350</xdr:rowOff>
    </xdr:from>
    <xdr:to>
      <xdr:col>1</xdr:col>
      <xdr:colOff>2654335</xdr:colOff>
      <xdr:row>12</xdr:row>
      <xdr:rowOff>78946</xdr:rowOff>
    </xdr:to>
    <xdr:sp macro="" textlink="">
      <xdr:nvSpPr>
        <xdr:cNvPr id="46" name="ZoneTexte 45"/>
        <xdr:cNvSpPr txBox="1"/>
      </xdr:nvSpPr>
      <xdr:spPr>
        <a:xfrm>
          <a:off x="2924738" y="2934821"/>
          <a:ext cx="289891" cy="259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O</a:t>
          </a:r>
        </a:p>
      </xdr:txBody>
    </xdr:sp>
    <xdr:clientData/>
  </xdr:twoCellAnchor>
  <xdr:twoCellAnchor>
    <xdr:from>
      <xdr:col>3</xdr:col>
      <xdr:colOff>113184</xdr:colOff>
      <xdr:row>10</xdr:row>
      <xdr:rowOff>95250</xdr:rowOff>
    </xdr:from>
    <xdr:to>
      <xdr:col>3</xdr:col>
      <xdr:colOff>403075</xdr:colOff>
      <xdr:row>12</xdr:row>
      <xdr:rowOff>40846</xdr:rowOff>
    </xdr:to>
    <xdr:sp macro="" textlink="">
      <xdr:nvSpPr>
        <xdr:cNvPr id="47" name="ZoneTexte 46"/>
        <xdr:cNvSpPr txBox="1"/>
      </xdr:nvSpPr>
      <xdr:spPr>
        <a:xfrm>
          <a:off x="4864478" y="2896721"/>
          <a:ext cx="289891" cy="259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O</a:t>
          </a:r>
        </a:p>
      </xdr:txBody>
    </xdr:sp>
    <xdr:clientData/>
  </xdr:twoCellAnchor>
  <xdr:twoCellAnchor>
    <xdr:from>
      <xdr:col>5</xdr:col>
      <xdr:colOff>352425</xdr:colOff>
      <xdr:row>27</xdr:row>
      <xdr:rowOff>123825</xdr:rowOff>
    </xdr:from>
    <xdr:to>
      <xdr:col>11</xdr:col>
      <xdr:colOff>390525</xdr:colOff>
      <xdr:row>46</xdr:row>
      <xdr:rowOff>142875</xdr:rowOff>
    </xdr:to>
    <xdr:graphicFrame macro="">
      <xdr:nvGraphicFramePr>
        <xdr:cNvPr id="3062735" name="Graphique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514350</xdr:colOff>
      <xdr:row>70</xdr:row>
      <xdr:rowOff>19050</xdr:rowOff>
    </xdr:from>
    <xdr:to>
      <xdr:col>3</xdr:col>
      <xdr:colOff>314325</xdr:colOff>
      <xdr:row>92</xdr:row>
      <xdr:rowOff>123825</xdr:rowOff>
    </xdr:to>
    <xdr:graphicFrame macro="">
      <xdr:nvGraphicFramePr>
        <xdr:cNvPr id="3062736" name="Graphique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3</xdr:col>
      <xdr:colOff>633133</xdr:colOff>
      <xdr:row>23</xdr:row>
      <xdr:rowOff>53836</xdr:rowOff>
    </xdr:from>
    <xdr:ext cx="1171576" cy="410305"/>
    <mc:AlternateContent xmlns:mc="http://schemas.openxmlformats.org/markup-compatibility/2006" xmlns:a14="http://schemas.microsoft.com/office/drawing/2010/main">
      <mc:Choice Requires="a14">
        <xdr:sp macro="" textlink="">
          <xdr:nvSpPr>
            <xdr:cNvPr id="25" name="ZoneTexte 24"/>
            <xdr:cNvSpPr txBox="1"/>
          </xdr:nvSpPr>
          <xdr:spPr>
            <a:xfrm>
              <a:off x="5386108" y="4997311"/>
              <a:ext cx="1171576" cy="41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𝑃</m:t>
                        </m:r>
                      </m:e>
                      <m:sub>
                        <m:r>
                          <a:rPr lang="fr-FR" sz="1100" b="0" i="1">
                            <a:solidFill>
                              <a:schemeClr val="tx1"/>
                            </a:solidFill>
                            <a:effectLst/>
                            <a:latin typeface="Cambria Math"/>
                            <a:ea typeface="+mn-ea"/>
                            <a:cs typeface="+mn-cs"/>
                          </a:rPr>
                          <m:t>𝑂</m:t>
                        </m:r>
                      </m:sub>
                    </m:sSub>
                    <m:r>
                      <a:rPr lang="fr-FR" sz="1100" b="0" i="1">
                        <a:latin typeface="Cambria Math"/>
                      </a:rPr>
                      <m:t>=</m:t>
                    </m:r>
                    <m:f>
                      <m:fPr>
                        <m:ctrlPr>
                          <a:rPr lang="fr-FR" sz="1100" b="0" i="1">
                            <a:latin typeface="Cambria Math" panose="02040503050406030204" pitchFamily="18" charset="0"/>
                          </a:rPr>
                        </m:ctrlPr>
                      </m:fPr>
                      <m:num>
                        <m:r>
                          <a:rPr lang="fr-FR" sz="1100" b="0" i="1">
                            <a:latin typeface="Cambria Math"/>
                          </a:rPr>
                          <m:t>3</m:t>
                        </m:r>
                      </m:num>
                      <m:den>
                        <m:r>
                          <a:rPr lang="fr-FR" sz="1100" b="0" i="1">
                            <a:latin typeface="Cambria Math"/>
                          </a:rPr>
                          <m:t>2</m:t>
                        </m:r>
                      </m:den>
                    </m:f>
                    <m:r>
                      <a:rPr lang="fr-FR" sz="1100" b="0" i="1">
                        <a:latin typeface="Cambria Math"/>
                        <a:ea typeface="Cambria Math"/>
                      </a:rPr>
                      <m:t>×</m:t>
                    </m:r>
                    <m:f>
                      <m:fPr>
                        <m:ctrlPr>
                          <a:rPr lang="fr-FR" sz="1100" b="0" i="1">
                            <a:latin typeface="Cambria Math" panose="02040503050406030204" pitchFamily="18" charset="0"/>
                            <a:ea typeface="Cambria Math"/>
                          </a:rPr>
                        </m:ctrlPr>
                      </m:fPr>
                      <m:num>
                        <m:sSub>
                          <m:sSubPr>
                            <m:ctrlPr>
                              <a:rPr lang="fr-FR" sz="1100" b="0" i="1">
                                <a:latin typeface="Cambria Math" panose="02040503050406030204" pitchFamily="18" charset="0"/>
                                <a:ea typeface="Cambria Math"/>
                              </a:rPr>
                            </m:ctrlPr>
                          </m:sSubPr>
                          <m:e>
                            <m:r>
                              <a:rPr lang="fr-FR" sz="1100" b="0" i="1">
                                <a:latin typeface="Cambria Math"/>
                                <a:ea typeface="Cambria Math"/>
                              </a:rPr>
                              <m:t>𝐹</m:t>
                            </m:r>
                          </m:e>
                          <m:sub>
                            <m:r>
                              <a:rPr lang="fr-FR" sz="1100" b="0" i="1">
                                <a:latin typeface="Cambria Math"/>
                                <a:ea typeface="Cambria Math"/>
                              </a:rPr>
                              <m:t>𝑁</m:t>
                            </m:r>
                          </m:sub>
                        </m:sSub>
                      </m:num>
                      <m:den>
                        <m:r>
                          <a:rPr lang="fr-FR" sz="1100" b="0" i="1">
                            <a:latin typeface="Cambria Math"/>
                            <a:ea typeface="Cambria Math"/>
                          </a:rPr>
                          <m:t>𝜋</m:t>
                        </m:r>
                        <m:r>
                          <a:rPr lang="fr-FR" sz="1100" b="0" i="1">
                            <a:latin typeface="Cambria Math"/>
                            <a:ea typeface="Cambria Math"/>
                          </a:rPr>
                          <m:t>.</m:t>
                        </m:r>
                        <m:sSup>
                          <m:sSupPr>
                            <m:ctrlPr>
                              <a:rPr lang="fr-FR" sz="1100" b="0" i="1">
                                <a:latin typeface="Cambria Math" panose="02040503050406030204" pitchFamily="18" charset="0"/>
                                <a:ea typeface="Cambria Math"/>
                              </a:rPr>
                            </m:ctrlPr>
                          </m:sSupPr>
                          <m:e>
                            <m:r>
                              <a:rPr lang="fr-FR" sz="1100" b="0" i="1">
                                <a:latin typeface="Cambria Math"/>
                                <a:ea typeface="Cambria Math"/>
                              </a:rPr>
                              <m:t>𝑏</m:t>
                            </m:r>
                          </m:e>
                          <m:sup>
                            <m:r>
                              <a:rPr lang="fr-FR" sz="1100" b="0" i="1">
                                <a:latin typeface="Cambria Math"/>
                                <a:ea typeface="Cambria Math"/>
                              </a:rPr>
                              <m:t>2</m:t>
                            </m:r>
                          </m:sup>
                        </m:sSup>
                      </m:den>
                    </m:f>
                  </m:oMath>
                </m:oMathPara>
              </a14:m>
              <a:endParaRPr lang="fr-FR" sz="1100"/>
            </a:p>
          </xdr:txBody>
        </xdr:sp>
      </mc:Choice>
      <mc:Fallback xmlns="">
        <xdr:sp macro="" textlink="">
          <xdr:nvSpPr>
            <xdr:cNvPr id="25" name="ZoneTexte 24"/>
            <xdr:cNvSpPr txBox="1"/>
          </xdr:nvSpPr>
          <xdr:spPr>
            <a:xfrm>
              <a:off x="5386108" y="4997311"/>
              <a:ext cx="1171576" cy="41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solidFill>
                    <a:schemeClr val="tx1"/>
                  </a:solidFill>
                  <a:effectLst/>
                  <a:latin typeface="Cambria Math"/>
                  <a:ea typeface="+mn-ea"/>
                  <a:cs typeface="+mn-cs"/>
                </a:rPr>
                <a:t>𝑃_𝑂</a:t>
              </a:r>
              <a:r>
                <a:rPr lang="fr-FR" sz="1100" b="0" i="0">
                  <a:latin typeface="Cambria Math"/>
                </a:rPr>
                <a:t>=3/2</a:t>
              </a:r>
              <a:r>
                <a:rPr lang="fr-FR" sz="1100" b="0" i="0">
                  <a:latin typeface="Cambria Math"/>
                  <a:ea typeface="Cambria Math"/>
                </a:rPr>
                <a:t>×𝐹_𝑁/(𝜋.𝑏^2 )</a:t>
              </a:r>
              <a:endParaRPr lang="fr-FR" sz="1100"/>
            </a:p>
          </xdr:txBody>
        </xdr:sp>
      </mc:Fallback>
    </mc:AlternateContent>
    <xdr:clientData/>
  </xdr:oneCellAnchor>
  <xdr:twoCellAnchor>
    <xdr:from>
      <xdr:col>5</xdr:col>
      <xdr:colOff>333375</xdr:colOff>
      <xdr:row>47</xdr:row>
      <xdr:rowOff>161925</xdr:rowOff>
    </xdr:from>
    <xdr:to>
      <xdr:col>11</xdr:col>
      <xdr:colOff>390525</xdr:colOff>
      <xdr:row>68</xdr:row>
      <xdr:rowOff>133350</xdr:rowOff>
    </xdr:to>
    <xdr:graphicFrame macro="">
      <xdr:nvGraphicFramePr>
        <xdr:cNvPr id="306273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323850</xdr:colOff>
      <xdr:row>69</xdr:row>
      <xdr:rowOff>133350</xdr:rowOff>
    </xdr:from>
    <xdr:to>
      <xdr:col>11</xdr:col>
      <xdr:colOff>381000</xdr:colOff>
      <xdr:row>92</xdr:row>
      <xdr:rowOff>95250</xdr:rowOff>
    </xdr:to>
    <xdr:graphicFrame macro="">
      <xdr:nvGraphicFramePr>
        <xdr:cNvPr id="306273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390525</xdr:colOff>
      <xdr:row>7</xdr:row>
      <xdr:rowOff>114300</xdr:rowOff>
    </xdr:from>
    <xdr:to>
      <xdr:col>1</xdr:col>
      <xdr:colOff>885825</xdr:colOff>
      <xdr:row>12</xdr:row>
      <xdr:rowOff>85725</xdr:rowOff>
    </xdr:to>
    <xdr:grpSp>
      <xdr:nvGrpSpPr>
        <xdr:cNvPr id="3062740" name="Groupe 18"/>
        <xdr:cNvGrpSpPr>
          <a:grpSpLocks/>
        </xdr:cNvGrpSpPr>
      </xdr:nvGrpSpPr>
      <xdr:grpSpPr bwMode="auto">
        <a:xfrm>
          <a:off x="952500" y="3238500"/>
          <a:ext cx="495300" cy="781050"/>
          <a:chOff x="6504214" y="2547258"/>
          <a:chExt cx="996492" cy="1594793"/>
        </a:xfrm>
      </xdr:grpSpPr>
      <xdr:cxnSp macro="">
        <xdr:nvCxnSpPr>
          <xdr:cNvPr id="6" name="Connecteur droit avec flèche 5"/>
          <xdr:cNvCxnSpPr/>
        </xdr:nvCxnSpPr>
        <xdr:spPr>
          <a:xfrm>
            <a:off x="6619194" y="3519693"/>
            <a:ext cx="632389" cy="3695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Connecteur droit avec flèche 34"/>
          <xdr:cNvCxnSpPr/>
        </xdr:nvCxnSpPr>
        <xdr:spPr>
          <a:xfrm flipV="1">
            <a:off x="6638357" y="3189065"/>
            <a:ext cx="594063" cy="330628"/>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Connecteur droit avec flèche 39"/>
          <xdr:cNvCxnSpPr/>
        </xdr:nvCxnSpPr>
        <xdr:spPr>
          <a:xfrm flipV="1">
            <a:off x="6638357" y="2819540"/>
            <a:ext cx="0" cy="719602"/>
          </a:xfrm>
          <a:prstGeom prst="straightConnector1">
            <a:avLst/>
          </a:prstGeom>
          <a:ln w="19050">
            <a:solidFill>
              <a:srgbClr val="0B4AFB"/>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ZoneTexte 17"/>
          <xdr:cNvSpPr txBox="1"/>
        </xdr:nvSpPr>
        <xdr:spPr>
          <a:xfrm>
            <a:off x="6504214" y="2547258"/>
            <a:ext cx="249123" cy="27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B4AFB"/>
                </a:solidFill>
              </a:rPr>
              <a:t>Z</a:t>
            </a:r>
          </a:p>
        </xdr:txBody>
      </xdr:sp>
      <xdr:sp macro="" textlink="">
        <xdr:nvSpPr>
          <xdr:cNvPr id="48" name="ZoneTexte 47"/>
          <xdr:cNvSpPr txBox="1"/>
        </xdr:nvSpPr>
        <xdr:spPr>
          <a:xfrm>
            <a:off x="7213256" y="3014027"/>
            <a:ext cx="249123" cy="27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0B050"/>
                </a:solidFill>
              </a:rPr>
              <a:t>Y</a:t>
            </a:r>
          </a:p>
        </xdr:txBody>
      </xdr:sp>
      <xdr:sp macro="" textlink="">
        <xdr:nvSpPr>
          <xdr:cNvPr id="49" name="ZoneTexte 48"/>
          <xdr:cNvSpPr txBox="1"/>
        </xdr:nvSpPr>
        <xdr:spPr>
          <a:xfrm>
            <a:off x="7251583" y="3869769"/>
            <a:ext cx="249123" cy="27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FF0000"/>
                </a:solidFill>
              </a:rPr>
              <a:t>X</a:t>
            </a:r>
          </a:p>
        </xdr:txBody>
      </xdr:sp>
    </xdr:grpSp>
    <xdr:clientData/>
  </xdr:twoCellAnchor>
  <xdr:twoCellAnchor>
    <xdr:from>
      <xdr:col>5</xdr:col>
      <xdr:colOff>409575</xdr:colOff>
      <xdr:row>3</xdr:row>
      <xdr:rowOff>19050</xdr:rowOff>
    </xdr:from>
    <xdr:to>
      <xdr:col>8</xdr:col>
      <xdr:colOff>419100</xdr:colOff>
      <xdr:row>23</xdr:row>
      <xdr:rowOff>0</xdr:rowOff>
    </xdr:to>
    <xdr:grpSp>
      <xdr:nvGrpSpPr>
        <xdr:cNvPr id="3062741" name="Groupe 868720"/>
        <xdr:cNvGrpSpPr>
          <a:grpSpLocks/>
        </xdr:cNvGrpSpPr>
      </xdr:nvGrpSpPr>
      <xdr:grpSpPr bwMode="auto">
        <a:xfrm>
          <a:off x="6686550" y="2495550"/>
          <a:ext cx="2295525" cy="3219450"/>
          <a:chOff x="6687969" y="1729768"/>
          <a:chExt cx="2295525" cy="3222378"/>
        </a:xfrm>
      </xdr:grpSpPr>
      <xdr:pic>
        <xdr:nvPicPr>
          <xdr:cNvPr id="3062762" name="Image 5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687969" y="1729768"/>
            <a:ext cx="2295525" cy="3222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 name="Flèche vers le bas 23"/>
          <xdr:cNvSpPr/>
        </xdr:nvSpPr>
        <xdr:spPr>
          <a:xfrm>
            <a:off x="7792869" y="1910908"/>
            <a:ext cx="123825" cy="390880"/>
          </a:xfrm>
          <a:prstGeom prst="downArrow">
            <a:avLst>
              <a:gd name="adj1" fmla="val 50000"/>
              <a:gd name="adj2" fmla="val 957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sp macro="" textlink="">
        <xdr:nvSpPr>
          <xdr:cNvPr id="56" name="ZoneTexte 55"/>
          <xdr:cNvSpPr txBox="1"/>
        </xdr:nvSpPr>
        <xdr:spPr>
          <a:xfrm>
            <a:off x="7935744" y="1806037"/>
            <a:ext cx="400050" cy="228808"/>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F</a:t>
            </a:r>
            <a:r>
              <a:rPr lang="fr-FR" sz="1100" b="1" baseline="-25000"/>
              <a:t>N</a:t>
            </a:r>
          </a:p>
        </xdr:txBody>
      </xdr:sp>
      <xdr:cxnSp macro="">
        <xdr:nvCxnSpPr>
          <xdr:cNvPr id="868705" name="Connecteur droit avec flèche 868704"/>
          <xdr:cNvCxnSpPr/>
        </xdr:nvCxnSpPr>
        <xdr:spPr>
          <a:xfrm>
            <a:off x="7869069" y="4227588"/>
            <a:ext cx="409575" cy="0"/>
          </a:xfrm>
          <a:prstGeom prst="straightConnector1">
            <a:avLst/>
          </a:prstGeom>
          <a:ln w="19050">
            <a:solidFill>
              <a:srgbClr val="FFC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 name="ZoneTexte 59"/>
          <xdr:cNvSpPr txBox="1"/>
        </xdr:nvSpPr>
        <xdr:spPr>
          <a:xfrm>
            <a:off x="7916694" y="4294323"/>
            <a:ext cx="295275" cy="228808"/>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a</a:t>
            </a:r>
            <a:endParaRPr lang="fr-FR" sz="1100" b="1" baseline="-25000"/>
          </a:p>
        </xdr:txBody>
      </xdr:sp>
      <xdr:cxnSp macro="">
        <xdr:nvCxnSpPr>
          <xdr:cNvPr id="868712" name="Connecteur droit 868711"/>
          <xdr:cNvCxnSpPr/>
        </xdr:nvCxnSpPr>
        <xdr:spPr>
          <a:xfrm>
            <a:off x="8269119" y="3979712"/>
            <a:ext cx="0" cy="238342"/>
          </a:xfrm>
          <a:prstGeom prst="line">
            <a:avLst/>
          </a:prstGeom>
          <a:ln>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xdr:cNvCxnSpPr/>
        </xdr:nvCxnSpPr>
        <xdr:spPr>
          <a:xfrm flipH="1">
            <a:off x="7888119" y="4046448"/>
            <a:ext cx="9525" cy="171606"/>
          </a:xfrm>
          <a:prstGeom prst="line">
            <a:avLst/>
          </a:prstGeom>
          <a:ln>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7" name="Connecteur droit avec flèche 66"/>
          <xdr:cNvCxnSpPr/>
        </xdr:nvCxnSpPr>
        <xdr:spPr>
          <a:xfrm>
            <a:off x="7288044" y="3569765"/>
            <a:ext cx="0" cy="486217"/>
          </a:xfrm>
          <a:prstGeom prst="straightConnector1">
            <a:avLst/>
          </a:prstGeom>
          <a:ln w="19050">
            <a:solidFill>
              <a:srgbClr val="0B4AFB"/>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Connecteur droit 69"/>
          <xdr:cNvCxnSpPr/>
        </xdr:nvCxnSpPr>
        <xdr:spPr>
          <a:xfrm>
            <a:off x="7278519" y="3560231"/>
            <a:ext cx="609600" cy="9534"/>
          </a:xfrm>
          <a:prstGeom prst="line">
            <a:avLst/>
          </a:prstGeom>
          <a:ln>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73" name="ZoneTexte 72"/>
          <xdr:cNvSpPr txBox="1"/>
        </xdr:nvSpPr>
        <xdr:spPr>
          <a:xfrm>
            <a:off x="6802269" y="3703236"/>
            <a:ext cx="323850" cy="228808"/>
          </a:xfrm>
          <a:prstGeom prst="rect">
            <a:avLst/>
          </a:prstGeom>
          <a:solidFill>
            <a:srgbClr val="0B4AFB"/>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P</a:t>
            </a:r>
            <a:r>
              <a:rPr lang="fr-FR" sz="1100" b="1" baseline="-25000"/>
              <a:t>O</a:t>
            </a:r>
          </a:p>
        </xdr:txBody>
      </xdr:sp>
    </xdr:grpSp>
    <xdr:clientData/>
  </xdr:twoCellAnchor>
  <xdr:twoCellAnchor editAs="oneCell">
    <xdr:from>
      <xdr:col>8</xdr:col>
      <xdr:colOff>523875</xdr:colOff>
      <xdr:row>4</xdr:row>
      <xdr:rowOff>57150</xdr:rowOff>
    </xdr:from>
    <xdr:to>
      <xdr:col>11</xdr:col>
      <xdr:colOff>638175</xdr:colOff>
      <xdr:row>19</xdr:row>
      <xdr:rowOff>114300</xdr:rowOff>
    </xdr:to>
    <xdr:pic>
      <xdr:nvPicPr>
        <xdr:cNvPr id="3062742" name="Image 74"/>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086850" y="2695575"/>
          <a:ext cx="2400300"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168852</xdr:colOff>
      <xdr:row>8</xdr:row>
      <xdr:rowOff>95250</xdr:rowOff>
    </xdr:from>
    <xdr:to>
      <xdr:col>11</xdr:col>
      <xdr:colOff>95250</xdr:colOff>
      <xdr:row>11</xdr:row>
      <xdr:rowOff>142875</xdr:rowOff>
    </xdr:to>
    <xdr:cxnSp macro="">
      <xdr:nvCxnSpPr>
        <xdr:cNvPr id="868723" name="Connecteur droit avec flèche 868722"/>
        <xdr:cNvCxnSpPr/>
      </xdr:nvCxnSpPr>
      <xdr:spPr>
        <a:xfrm flipV="1">
          <a:off x="10256693" y="2597727"/>
          <a:ext cx="688398" cy="528205"/>
        </a:xfrm>
        <a:prstGeom prst="straightConnector1">
          <a:avLst/>
        </a:prstGeom>
        <a:ln>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597477</xdr:colOff>
      <xdr:row>9</xdr:row>
      <xdr:rowOff>147206</xdr:rowOff>
    </xdr:from>
    <xdr:to>
      <xdr:col>11</xdr:col>
      <xdr:colOff>134214</xdr:colOff>
      <xdr:row>11</xdr:row>
      <xdr:rowOff>49337</xdr:rowOff>
    </xdr:to>
    <xdr:sp macro="" textlink="">
      <xdr:nvSpPr>
        <xdr:cNvPr id="79" name="ZoneTexte 78"/>
        <xdr:cNvSpPr txBox="1"/>
      </xdr:nvSpPr>
      <xdr:spPr>
        <a:xfrm>
          <a:off x="10685318" y="2809876"/>
          <a:ext cx="298737" cy="222518"/>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u="none"/>
            <a:t>a</a:t>
          </a:r>
          <a:endParaRPr lang="fr-FR" sz="1100" b="1" u="none" baseline="-25000"/>
        </a:p>
      </xdr:txBody>
    </xdr:sp>
    <xdr:clientData/>
  </xdr:twoCellAnchor>
  <xdr:twoCellAnchor>
    <xdr:from>
      <xdr:col>9</xdr:col>
      <xdr:colOff>736024</xdr:colOff>
      <xdr:row>11</xdr:row>
      <xdr:rowOff>131619</xdr:rowOff>
    </xdr:from>
    <xdr:to>
      <xdr:col>10</xdr:col>
      <xdr:colOff>173183</xdr:colOff>
      <xdr:row>13</xdr:row>
      <xdr:rowOff>33751</xdr:rowOff>
    </xdr:to>
    <xdr:sp macro="" textlink="">
      <xdr:nvSpPr>
        <xdr:cNvPr id="81" name="ZoneTexte 80"/>
        <xdr:cNvSpPr txBox="1"/>
      </xdr:nvSpPr>
      <xdr:spPr>
        <a:xfrm>
          <a:off x="10061865" y="3114676"/>
          <a:ext cx="199159" cy="222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O</a:t>
          </a:r>
          <a:endParaRPr lang="fr-FR" sz="1100" b="1" baseline="-25000"/>
        </a:p>
      </xdr:txBody>
    </xdr:sp>
    <xdr:clientData/>
  </xdr:twoCellAnchor>
  <xdr:twoCellAnchor>
    <xdr:from>
      <xdr:col>9</xdr:col>
      <xdr:colOff>554183</xdr:colOff>
      <xdr:row>9</xdr:row>
      <xdr:rowOff>34638</xdr:rowOff>
    </xdr:from>
    <xdr:to>
      <xdr:col>10</xdr:col>
      <xdr:colOff>173182</xdr:colOff>
      <xdr:row>11</xdr:row>
      <xdr:rowOff>138545</xdr:rowOff>
    </xdr:to>
    <xdr:cxnSp macro="">
      <xdr:nvCxnSpPr>
        <xdr:cNvPr id="868726" name="Connecteur droit avec flèche 868725"/>
        <xdr:cNvCxnSpPr/>
      </xdr:nvCxnSpPr>
      <xdr:spPr>
        <a:xfrm flipH="1" flipV="1">
          <a:off x="9880024" y="2697308"/>
          <a:ext cx="380999" cy="424294"/>
        </a:xfrm>
        <a:prstGeom prst="straightConnector1">
          <a:avLst/>
        </a:prstGeom>
        <a:ln>
          <a:solidFill>
            <a:srgbClr val="7030A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312593</xdr:colOff>
      <xdr:row>9</xdr:row>
      <xdr:rowOff>143742</xdr:rowOff>
    </xdr:from>
    <xdr:to>
      <xdr:col>9</xdr:col>
      <xdr:colOff>611330</xdr:colOff>
      <xdr:row>11</xdr:row>
      <xdr:rowOff>45873</xdr:rowOff>
    </xdr:to>
    <xdr:sp macro="" textlink="">
      <xdr:nvSpPr>
        <xdr:cNvPr id="86" name="ZoneTexte 85"/>
        <xdr:cNvSpPr txBox="1"/>
      </xdr:nvSpPr>
      <xdr:spPr>
        <a:xfrm>
          <a:off x="9638434" y="2806412"/>
          <a:ext cx="298737" cy="222518"/>
        </a:xfrm>
        <a:prstGeom prst="rect">
          <a:avLst/>
        </a:prstGeom>
        <a:solidFill>
          <a:srgbClr val="7030A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u="none" baseline="0"/>
            <a:t>r</a:t>
          </a:r>
          <a:endParaRPr lang="fr-FR" sz="1100" b="1" u="none" baseline="-25000"/>
        </a:p>
      </xdr:txBody>
    </xdr:sp>
    <xdr:clientData/>
  </xdr:twoCellAnchor>
  <xdr:twoCellAnchor>
    <xdr:from>
      <xdr:col>9</xdr:col>
      <xdr:colOff>96915</xdr:colOff>
      <xdr:row>18</xdr:row>
      <xdr:rowOff>72263</xdr:rowOff>
    </xdr:from>
    <xdr:to>
      <xdr:col>11</xdr:col>
      <xdr:colOff>117299</xdr:colOff>
      <xdr:row>20</xdr:row>
      <xdr:rowOff>15846</xdr:rowOff>
    </xdr:to>
    <xdr:sp macro="" textlink="">
      <xdr:nvSpPr>
        <xdr:cNvPr id="87" name="ZoneTexte 86"/>
        <xdr:cNvSpPr txBox="1"/>
      </xdr:nvSpPr>
      <xdr:spPr>
        <a:xfrm>
          <a:off x="9424088" y="4197321"/>
          <a:ext cx="1544384" cy="265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Aire de contact</a:t>
          </a:r>
        </a:p>
      </xdr:txBody>
    </xdr:sp>
    <xdr:clientData/>
  </xdr:twoCellAnchor>
  <xdr:twoCellAnchor>
    <xdr:from>
      <xdr:col>5</xdr:col>
      <xdr:colOff>485775</xdr:colOff>
      <xdr:row>5</xdr:row>
      <xdr:rowOff>9525</xdr:rowOff>
    </xdr:from>
    <xdr:to>
      <xdr:col>6</xdr:col>
      <xdr:colOff>247650</xdr:colOff>
      <xdr:row>8</xdr:row>
      <xdr:rowOff>85725</xdr:rowOff>
    </xdr:to>
    <xdr:grpSp>
      <xdr:nvGrpSpPr>
        <xdr:cNvPr id="3062749" name="Groupe 87"/>
        <xdr:cNvGrpSpPr>
          <a:grpSpLocks/>
        </xdr:cNvGrpSpPr>
      </xdr:nvGrpSpPr>
      <xdr:grpSpPr bwMode="auto">
        <a:xfrm>
          <a:off x="6762750" y="2809875"/>
          <a:ext cx="523875" cy="561975"/>
          <a:chOff x="6504214" y="2547258"/>
          <a:chExt cx="1052440" cy="1136754"/>
        </a:xfrm>
      </xdr:grpSpPr>
      <xdr:cxnSp macro="">
        <xdr:nvCxnSpPr>
          <xdr:cNvPr id="89" name="Connecteur droit avec flèche 88"/>
          <xdr:cNvCxnSpPr/>
        </xdr:nvCxnSpPr>
        <xdr:spPr>
          <a:xfrm>
            <a:off x="6619026" y="3529876"/>
            <a:ext cx="669735" cy="1926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avec flèche 90"/>
          <xdr:cNvCxnSpPr/>
        </xdr:nvCxnSpPr>
        <xdr:spPr>
          <a:xfrm flipV="1">
            <a:off x="6638161" y="2816996"/>
            <a:ext cx="0" cy="712880"/>
          </a:xfrm>
          <a:prstGeom prst="straightConnector1">
            <a:avLst/>
          </a:prstGeom>
          <a:ln w="19050">
            <a:solidFill>
              <a:srgbClr val="0B4AFB"/>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2" name="ZoneTexte 91"/>
          <xdr:cNvSpPr txBox="1"/>
        </xdr:nvSpPr>
        <xdr:spPr>
          <a:xfrm>
            <a:off x="6504214" y="2547258"/>
            <a:ext cx="248759" cy="269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B4AFB"/>
                </a:solidFill>
              </a:rPr>
              <a:t>Z</a:t>
            </a:r>
          </a:p>
        </xdr:txBody>
      </xdr:sp>
      <xdr:sp macro="" textlink="">
        <xdr:nvSpPr>
          <xdr:cNvPr id="93" name="ZoneTexte 92"/>
          <xdr:cNvSpPr txBox="1"/>
        </xdr:nvSpPr>
        <xdr:spPr>
          <a:xfrm>
            <a:off x="7231354" y="3009666"/>
            <a:ext cx="229623" cy="269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fr-FR" sz="1200" b="1">
              <a:solidFill>
                <a:srgbClr val="00B050"/>
              </a:solidFill>
            </a:endParaRPr>
          </a:p>
        </xdr:txBody>
      </xdr:sp>
      <xdr:sp macro="" textlink="">
        <xdr:nvSpPr>
          <xdr:cNvPr id="94" name="ZoneTexte 93"/>
          <xdr:cNvSpPr txBox="1"/>
        </xdr:nvSpPr>
        <xdr:spPr>
          <a:xfrm>
            <a:off x="7307895" y="3414274"/>
            <a:ext cx="248759" cy="269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FF0000"/>
                </a:solidFill>
              </a:rPr>
              <a:t>X</a:t>
            </a:r>
          </a:p>
        </xdr:txBody>
      </xdr:sp>
    </xdr:grpSp>
    <xdr:clientData/>
  </xdr:twoCellAnchor>
  <xdr:twoCellAnchor>
    <xdr:from>
      <xdr:col>8</xdr:col>
      <xdr:colOff>561975</xdr:colOff>
      <xdr:row>5</xdr:row>
      <xdr:rowOff>19050</xdr:rowOff>
    </xdr:from>
    <xdr:to>
      <xdr:col>9</xdr:col>
      <xdr:colOff>314325</xdr:colOff>
      <xdr:row>8</xdr:row>
      <xdr:rowOff>76200</xdr:rowOff>
    </xdr:to>
    <xdr:grpSp>
      <xdr:nvGrpSpPr>
        <xdr:cNvPr id="3062750" name="Groupe 95"/>
        <xdr:cNvGrpSpPr>
          <a:grpSpLocks/>
        </xdr:cNvGrpSpPr>
      </xdr:nvGrpSpPr>
      <xdr:grpSpPr bwMode="auto">
        <a:xfrm>
          <a:off x="9124950" y="2819400"/>
          <a:ext cx="514350" cy="542925"/>
          <a:chOff x="6532716" y="2570658"/>
          <a:chExt cx="1033264" cy="1112950"/>
        </a:xfrm>
      </xdr:grpSpPr>
      <xdr:cxnSp macro="">
        <xdr:nvCxnSpPr>
          <xdr:cNvPr id="97" name="Connecteur droit avec flèche 96"/>
          <xdr:cNvCxnSpPr/>
        </xdr:nvCxnSpPr>
        <xdr:spPr>
          <a:xfrm>
            <a:off x="6628389" y="3527404"/>
            <a:ext cx="650574"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8" name="Connecteur droit avec flèche 97"/>
          <xdr:cNvCxnSpPr/>
        </xdr:nvCxnSpPr>
        <xdr:spPr>
          <a:xfrm flipV="1">
            <a:off x="6647523" y="2844014"/>
            <a:ext cx="0" cy="68339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ZoneTexte 100"/>
          <xdr:cNvSpPr txBox="1"/>
        </xdr:nvSpPr>
        <xdr:spPr>
          <a:xfrm>
            <a:off x="6532716" y="2570658"/>
            <a:ext cx="248749" cy="27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0B050"/>
                </a:solidFill>
              </a:rPr>
              <a:t>Y</a:t>
            </a:r>
          </a:p>
        </xdr:txBody>
      </xdr:sp>
      <xdr:sp macro="" textlink="">
        <xdr:nvSpPr>
          <xdr:cNvPr id="102" name="ZoneTexte 101"/>
          <xdr:cNvSpPr txBox="1"/>
        </xdr:nvSpPr>
        <xdr:spPr>
          <a:xfrm>
            <a:off x="7317231" y="3410252"/>
            <a:ext cx="248749" cy="27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FF0000"/>
                </a:solidFill>
              </a:rPr>
              <a:t>X</a:t>
            </a:r>
          </a:p>
        </xdr:txBody>
      </xdr:sp>
    </xdr:grpSp>
    <xdr:clientData/>
  </xdr:twoCellAnchor>
  <xdr:oneCellAnchor>
    <xdr:from>
      <xdr:col>8</xdr:col>
      <xdr:colOff>36980</xdr:colOff>
      <xdr:row>22</xdr:row>
      <xdr:rowOff>126114</xdr:rowOff>
    </xdr:from>
    <xdr:ext cx="3087220" cy="521585"/>
    <mc:AlternateContent xmlns:mc="http://schemas.openxmlformats.org/markup-compatibility/2006" xmlns:a14="http://schemas.microsoft.com/office/drawing/2010/main">
      <mc:Choice Requires="a14">
        <xdr:sp macro="" textlink="">
          <xdr:nvSpPr>
            <xdr:cNvPr id="64" name="ZoneTexte 63"/>
            <xdr:cNvSpPr txBox="1"/>
          </xdr:nvSpPr>
          <xdr:spPr>
            <a:xfrm>
              <a:off x="8599955" y="4907664"/>
              <a:ext cx="3087220" cy="521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1200" b="0"/>
                <a:t>δ</a:t>
              </a:r>
              <a14:m>
                <m:oMath xmlns:m="http://schemas.openxmlformats.org/officeDocument/2006/math">
                  <m:r>
                    <a:rPr lang="fr-FR" sz="1200" b="0" i="1">
                      <a:latin typeface="Cambria Math"/>
                    </a:rPr>
                    <m:t>=</m:t>
                  </m:r>
                  <m:sSup>
                    <m:sSupPr>
                      <m:ctrlPr>
                        <a:rPr lang="fr-FR" sz="1200" b="0" i="1">
                          <a:latin typeface="Cambria Math" panose="02040503050406030204" pitchFamily="18" charset="0"/>
                        </a:rPr>
                      </m:ctrlPr>
                    </m:sSupPr>
                    <m:e>
                      <m:d>
                        <m:dPr>
                          <m:ctrlPr>
                            <a:rPr lang="fr-FR" sz="1200" b="0" i="1">
                              <a:latin typeface="Cambria Math" panose="02040503050406030204" pitchFamily="18" charset="0"/>
                            </a:rPr>
                          </m:ctrlPr>
                        </m:dPr>
                        <m:e>
                          <m:f>
                            <m:fPr>
                              <m:ctrlPr>
                                <a:rPr lang="fr-FR" sz="1200" b="0" i="1">
                                  <a:latin typeface="Cambria Math" panose="02040503050406030204" pitchFamily="18" charset="0"/>
                                </a:rPr>
                              </m:ctrlPr>
                            </m:fPr>
                            <m:num>
                              <m:r>
                                <a:rPr lang="fr-FR" sz="1200" b="0" i="1">
                                  <a:latin typeface="Cambria Math"/>
                                </a:rPr>
                                <m:t>9.</m:t>
                              </m:r>
                              <m:sSup>
                                <m:sSupPr>
                                  <m:ctrlPr>
                                    <a:rPr lang="fr-FR" sz="1200" b="0" i="1">
                                      <a:latin typeface="Cambria Math" panose="02040503050406030204" pitchFamily="18" charset="0"/>
                                    </a:rPr>
                                  </m:ctrlPr>
                                </m:sSupPr>
                                <m:e>
                                  <m:r>
                                    <a:rPr lang="fr-FR" sz="1200" b="0" i="1">
                                      <a:latin typeface="Cambria Math"/>
                                      <a:ea typeface="Cambria Math"/>
                                    </a:rPr>
                                    <m:t>𝜋</m:t>
                                  </m:r>
                                </m:e>
                                <m:sup>
                                  <m:r>
                                    <a:rPr lang="fr-FR" sz="1200" b="0" i="1">
                                      <a:latin typeface="Cambria Math"/>
                                    </a:rPr>
                                    <m:t>2</m:t>
                                  </m:r>
                                </m:sup>
                              </m:sSup>
                            </m:num>
                            <m:den>
                              <m:r>
                                <a:rPr lang="fr-FR" sz="1200" b="0" i="1">
                                  <a:latin typeface="Cambria Math"/>
                                </a:rPr>
                                <m:t>16</m:t>
                              </m:r>
                            </m:den>
                          </m:f>
                          <m:r>
                            <a:rPr lang="fr-FR" sz="1200" b="0" i="1">
                              <a:latin typeface="Cambria Math"/>
                            </a:rPr>
                            <m:t>.</m:t>
                          </m:r>
                          <m:sSup>
                            <m:sSupPr>
                              <m:ctrlPr>
                                <a:rPr lang="fr-FR" sz="1200" b="0" i="1">
                                  <a:latin typeface="Cambria Math" panose="02040503050406030204" pitchFamily="18" charset="0"/>
                                </a:rPr>
                              </m:ctrlPr>
                            </m:sSupPr>
                            <m:e>
                              <m:d>
                                <m:dPr>
                                  <m:ctrlPr>
                                    <a:rPr lang="fr-FR" sz="1200" b="0" i="1">
                                      <a:solidFill>
                                        <a:schemeClr val="tx1"/>
                                      </a:solidFill>
                                      <a:effectLst/>
                                      <a:latin typeface="Cambria Math" panose="02040503050406030204" pitchFamily="18" charset="0"/>
                                      <a:ea typeface="+mn-ea"/>
                                      <a:cs typeface="+mn-cs"/>
                                    </a:rPr>
                                  </m:ctrlPr>
                                </m:dPr>
                                <m:e>
                                  <m:sSub>
                                    <m:sSubPr>
                                      <m:ctrlPr>
                                        <a:rPr lang="fr-FR" sz="1200" b="0" i="1">
                                          <a:solidFill>
                                            <a:schemeClr val="tx1"/>
                                          </a:solidFill>
                                          <a:effectLst/>
                                          <a:latin typeface="Cambria Math" panose="02040503050406030204" pitchFamily="18" charset="0"/>
                                          <a:ea typeface="+mn-ea"/>
                                          <a:cs typeface="+mn-cs"/>
                                        </a:rPr>
                                      </m:ctrlPr>
                                    </m:sSubPr>
                                    <m:e>
                                      <m:r>
                                        <a:rPr lang="fr-FR" sz="1200" b="0" i="1">
                                          <a:solidFill>
                                            <a:schemeClr val="tx1"/>
                                          </a:solidFill>
                                          <a:effectLst/>
                                          <a:latin typeface="Cambria Math"/>
                                          <a:ea typeface="+mn-ea"/>
                                          <a:cs typeface="+mn-cs"/>
                                        </a:rPr>
                                        <m:t>𝐾</m:t>
                                      </m:r>
                                    </m:e>
                                    <m:sub>
                                      <m:r>
                                        <a:rPr lang="fr-FR" sz="1200" b="0" i="1">
                                          <a:solidFill>
                                            <a:schemeClr val="tx1"/>
                                          </a:solidFill>
                                          <a:effectLst/>
                                          <a:latin typeface="Cambria Math"/>
                                          <a:ea typeface="+mn-ea"/>
                                          <a:cs typeface="+mn-cs"/>
                                        </a:rPr>
                                        <m:t>1</m:t>
                                      </m:r>
                                    </m:sub>
                                  </m:sSub>
                                  <m:r>
                                    <a:rPr lang="fr-FR" sz="1200" b="0" i="1">
                                      <a:solidFill>
                                        <a:schemeClr val="tx1"/>
                                      </a:solidFill>
                                      <a:effectLst/>
                                      <a:latin typeface="Cambria Math"/>
                                      <a:ea typeface="+mn-ea"/>
                                      <a:cs typeface="+mn-cs"/>
                                    </a:rPr>
                                    <m:t>+</m:t>
                                  </m:r>
                                  <m:sSub>
                                    <m:sSubPr>
                                      <m:ctrlPr>
                                        <a:rPr lang="fr-FR" sz="1200" b="0" i="1">
                                          <a:solidFill>
                                            <a:schemeClr val="tx1"/>
                                          </a:solidFill>
                                          <a:effectLst/>
                                          <a:latin typeface="Cambria Math" panose="02040503050406030204" pitchFamily="18" charset="0"/>
                                          <a:ea typeface="+mn-ea"/>
                                          <a:cs typeface="+mn-cs"/>
                                        </a:rPr>
                                      </m:ctrlPr>
                                    </m:sSubPr>
                                    <m:e>
                                      <m:r>
                                        <a:rPr lang="fr-FR" sz="1200" b="0" i="1">
                                          <a:solidFill>
                                            <a:schemeClr val="tx1"/>
                                          </a:solidFill>
                                          <a:effectLst/>
                                          <a:latin typeface="Cambria Math"/>
                                          <a:ea typeface="+mn-ea"/>
                                          <a:cs typeface="+mn-cs"/>
                                        </a:rPr>
                                        <m:t>𝐾</m:t>
                                      </m:r>
                                    </m:e>
                                    <m:sub>
                                      <m:r>
                                        <a:rPr lang="fr-FR" sz="1200" b="0" i="1">
                                          <a:solidFill>
                                            <a:schemeClr val="tx1"/>
                                          </a:solidFill>
                                          <a:effectLst/>
                                          <a:latin typeface="Cambria Math"/>
                                          <a:ea typeface="+mn-ea"/>
                                          <a:cs typeface="+mn-cs"/>
                                        </a:rPr>
                                        <m:t>2</m:t>
                                      </m:r>
                                    </m:sub>
                                  </m:sSub>
                                </m:e>
                              </m:d>
                            </m:e>
                            <m:sup>
                              <m:r>
                                <a:rPr lang="fr-FR" sz="1200" b="0" i="1">
                                  <a:latin typeface="Cambria Math"/>
                                </a:rPr>
                                <m:t>2</m:t>
                              </m:r>
                            </m:sup>
                          </m:sSup>
                          <m:r>
                            <a:rPr lang="fr-FR" sz="1200" b="0" i="1">
                              <a:latin typeface="Cambria Math"/>
                            </a:rPr>
                            <m:t>.</m:t>
                          </m:r>
                          <m:sSubSup>
                            <m:sSubSupPr>
                              <m:ctrlPr>
                                <a:rPr lang="fr-FR" sz="1200" b="0" i="1">
                                  <a:latin typeface="Cambria Math" panose="02040503050406030204" pitchFamily="18" charset="0"/>
                                </a:rPr>
                              </m:ctrlPr>
                            </m:sSubSupPr>
                            <m:e>
                              <m:r>
                                <a:rPr lang="fr-FR" sz="1200" b="0" i="1">
                                  <a:latin typeface="Cambria Math"/>
                                </a:rPr>
                                <m:t>𝐹</m:t>
                              </m:r>
                            </m:e>
                            <m:sub>
                              <m:r>
                                <a:rPr lang="fr-FR" sz="1200" b="0" i="1">
                                  <a:latin typeface="Cambria Math"/>
                                </a:rPr>
                                <m:t>𝑁</m:t>
                              </m:r>
                            </m:sub>
                            <m:sup>
                              <m:r>
                                <a:rPr lang="fr-FR" sz="1200" b="0" i="1">
                                  <a:latin typeface="Cambria Math"/>
                                </a:rPr>
                                <m:t>2</m:t>
                              </m:r>
                            </m:sup>
                          </m:sSubSup>
                          <m:r>
                            <a:rPr lang="fr-FR" sz="1200" b="0" i="1">
                              <a:latin typeface="Cambria Math"/>
                            </a:rPr>
                            <m:t>.</m:t>
                          </m:r>
                          <m:f>
                            <m:fPr>
                              <m:ctrlPr>
                                <a:rPr lang="fr-FR" sz="1200" b="0" i="1">
                                  <a:latin typeface="Cambria Math" panose="02040503050406030204" pitchFamily="18" charset="0"/>
                                </a:rPr>
                              </m:ctrlPr>
                            </m:fPr>
                            <m:num>
                              <m:r>
                                <a:rPr lang="fr-FR" sz="1200" b="0" i="1">
                                  <a:latin typeface="Cambria Math"/>
                                </a:rPr>
                                <m:t>1</m:t>
                              </m:r>
                            </m:num>
                            <m:den>
                              <m:sSub>
                                <m:sSubPr>
                                  <m:ctrlPr>
                                    <a:rPr lang="fr-FR" sz="1200" b="0" i="1">
                                      <a:latin typeface="Cambria Math" panose="02040503050406030204" pitchFamily="18" charset="0"/>
                                    </a:rPr>
                                  </m:ctrlPr>
                                </m:sSubPr>
                                <m:e>
                                  <m:r>
                                    <a:rPr lang="fr-FR" sz="1200" b="0" i="1">
                                      <a:latin typeface="Cambria Math"/>
                                    </a:rPr>
                                    <m:t>𝑅</m:t>
                                  </m:r>
                                </m:e>
                                <m:sub>
                                  <m:r>
                                    <a:rPr lang="fr-FR" sz="1200" b="0" i="1">
                                      <a:latin typeface="Cambria Math"/>
                                    </a:rPr>
                                    <m:t>𝑒𝑞𝑢𝑖𝑣</m:t>
                                  </m:r>
                                </m:sub>
                              </m:sSub>
                            </m:den>
                          </m:f>
                        </m:e>
                      </m:d>
                    </m:e>
                    <m:sup>
                      <m:f>
                        <m:fPr>
                          <m:type m:val="skw"/>
                          <m:ctrlPr>
                            <a:rPr lang="fr-FR" sz="1200" b="0" i="1">
                              <a:latin typeface="Cambria Math" panose="02040503050406030204" pitchFamily="18" charset="0"/>
                            </a:rPr>
                          </m:ctrlPr>
                        </m:fPr>
                        <m:num>
                          <m:r>
                            <a:rPr lang="fr-FR" sz="1200" b="0" i="1">
                              <a:latin typeface="Cambria Math"/>
                            </a:rPr>
                            <m:t>1</m:t>
                          </m:r>
                        </m:num>
                        <m:den>
                          <m:r>
                            <a:rPr lang="fr-FR" sz="1200" b="0" i="1">
                              <a:latin typeface="Cambria Math"/>
                            </a:rPr>
                            <m:t>3</m:t>
                          </m:r>
                        </m:den>
                      </m:f>
                    </m:sup>
                  </m:sSup>
                  <m:r>
                    <a:rPr lang="fr-FR" sz="1200" b="0" i="1">
                      <a:latin typeface="Cambria Math"/>
                    </a:rPr>
                    <m:t>=</m:t>
                  </m:r>
                  <m:f>
                    <m:fPr>
                      <m:ctrlPr>
                        <a:rPr lang="fr-FR" sz="1200" b="0" i="1">
                          <a:latin typeface="Cambria Math" panose="02040503050406030204" pitchFamily="18" charset="0"/>
                        </a:rPr>
                      </m:ctrlPr>
                    </m:fPr>
                    <m:num>
                      <m:sSup>
                        <m:sSupPr>
                          <m:ctrlPr>
                            <a:rPr lang="fr-FR" sz="1200" b="0" i="1">
                              <a:latin typeface="Cambria Math" panose="02040503050406030204" pitchFamily="18" charset="0"/>
                            </a:rPr>
                          </m:ctrlPr>
                        </m:sSupPr>
                        <m:e>
                          <m:r>
                            <a:rPr lang="fr-FR" sz="1200" b="0" i="1">
                              <a:latin typeface="Cambria Math"/>
                            </a:rPr>
                            <m:t>𝑏</m:t>
                          </m:r>
                        </m:e>
                        <m:sup>
                          <m:r>
                            <a:rPr lang="fr-FR" sz="1200" b="0" i="1">
                              <a:latin typeface="Cambria Math"/>
                            </a:rPr>
                            <m:t>2</m:t>
                          </m:r>
                        </m:sup>
                      </m:sSup>
                    </m:num>
                    <m:den>
                      <m:sSub>
                        <m:sSubPr>
                          <m:ctrlPr>
                            <a:rPr lang="fr-FR" sz="1200" b="0" i="1">
                              <a:latin typeface="Cambria Math" panose="02040503050406030204" pitchFamily="18" charset="0"/>
                            </a:rPr>
                          </m:ctrlPr>
                        </m:sSubPr>
                        <m:e>
                          <m:r>
                            <a:rPr lang="fr-FR" sz="1200" b="0" i="1">
                              <a:latin typeface="Cambria Math"/>
                            </a:rPr>
                            <m:t>𝑅</m:t>
                          </m:r>
                        </m:e>
                        <m:sub>
                          <m:r>
                            <a:rPr lang="fr-FR" sz="1200" b="0" i="1">
                              <a:latin typeface="Cambria Math"/>
                            </a:rPr>
                            <m:t>𝑒𝑞𝑢𝑖𝑣</m:t>
                          </m:r>
                        </m:sub>
                      </m:sSub>
                    </m:den>
                  </m:f>
                </m:oMath>
              </a14:m>
              <a:endParaRPr lang="fr-FR" sz="1200"/>
            </a:p>
          </xdr:txBody>
        </xdr:sp>
      </mc:Choice>
      <mc:Fallback xmlns="">
        <xdr:sp macro="" textlink="">
          <xdr:nvSpPr>
            <xdr:cNvPr id="64" name="ZoneTexte 63"/>
            <xdr:cNvSpPr txBox="1"/>
          </xdr:nvSpPr>
          <xdr:spPr>
            <a:xfrm>
              <a:off x="8599955" y="4907664"/>
              <a:ext cx="3087220" cy="521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1200" b="0"/>
                <a:t>δ</a:t>
              </a:r>
              <a:r>
                <a:rPr lang="fr-FR" sz="1200" b="0" i="0">
                  <a:latin typeface="Cambria Math"/>
                </a:rPr>
                <a:t>=((9.</a:t>
              </a:r>
              <a:r>
                <a:rPr lang="fr-FR" sz="1200" b="0" i="0">
                  <a:latin typeface="Cambria Math"/>
                  <a:ea typeface="Cambria Math"/>
                </a:rPr>
                <a:t>𝜋^</a:t>
              </a:r>
              <a:r>
                <a:rPr lang="fr-FR" sz="1200" b="0" i="0">
                  <a:latin typeface="Cambria Math"/>
                </a:rPr>
                <a:t>2)/16.</a:t>
              </a:r>
              <a:r>
                <a:rPr lang="fr-FR" sz="1200" b="0" i="0">
                  <a:solidFill>
                    <a:schemeClr val="tx1"/>
                  </a:solidFill>
                  <a:effectLst/>
                  <a:latin typeface="Cambria Math"/>
                  <a:ea typeface="+mn-ea"/>
                  <a:cs typeface="+mn-cs"/>
                </a:rPr>
                <a:t>(𝐾_1+𝐾_2 )^</a:t>
              </a:r>
              <a:r>
                <a:rPr lang="fr-FR" sz="1200" b="0" i="0">
                  <a:latin typeface="Cambria Math"/>
                </a:rPr>
                <a:t>2.𝐹_𝑁^2.1/𝑅_𝑒𝑞𝑢𝑖𝑣 )^(1⁄3)=𝑏^2/𝑅_𝑒𝑞𝑢𝑖𝑣 </a:t>
              </a:r>
              <a:endParaRPr lang="fr-FR" sz="1200"/>
            </a:p>
          </xdr:txBody>
        </xdr:sp>
      </mc:Fallback>
    </mc:AlternateContent>
    <xdr:clientData/>
  </xdr:oneCellAnchor>
  <xdr:twoCellAnchor editAs="oneCell">
    <xdr:from>
      <xdr:col>0</xdr:col>
      <xdr:colOff>28575</xdr:colOff>
      <xdr:row>94</xdr:row>
      <xdr:rowOff>19050</xdr:rowOff>
    </xdr:from>
    <xdr:to>
      <xdr:col>1</xdr:col>
      <xdr:colOff>714375</xdr:colOff>
      <xdr:row>96</xdr:row>
      <xdr:rowOff>133350</xdr:rowOff>
    </xdr:to>
    <xdr:pic>
      <xdr:nvPicPr>
        <xdr:cNvPr id="3062752" name="Image 68"/>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8575" y="18030825"/>
          <a:ext cx="1247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200025</xdr:colOff>
      <xdr:row>3</xdr:row>
      <xdr:rowOff>152400</xdr:rowOff>
    </xdr:from>
    <xdr:to>
      <xdr:col>6</xdr:col>
      <xdr:colOff>552450</xdr:colOff>
      <xdr:row>19</xdr:row>
      <xdr:rowOff>152400</xdr:rowOff>
    </xdr:to>
    <xdr:pic>
      <xdr:nvPicPr>
        <xdr:cNvPr id="2982633"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2628900"/>
          <a:ext cx="1876425"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2505075</xdr:colOff>
      <xdr:row>4</xdr:row>
      <xdr:rowOff>76200</xdr:rowOff>
    </xdr:from>
    <xdr:to>
      <xdr:col>3</xdr:col>
      <xdr:colOff>238125</xdr:colOff>
      <xdr:row>19</xdr:row>
      <xdr:rowOff>114300</xdr:rowOff>
    </xdr:to>
    <xdr:pic>
      <xdr:nvPicPr>
        <xdr:cNvPr id="2982634"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714625"/>
          <a:ext cx="192405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4</xdr:row>
      <xdr:rowOff>57150</xdr:rowOff>
    </xdr:from>
    <xdr:to>
      <xdr:col>1</xdr:col>
      <xdr:colOff>1714500</xdr:colOff>
      <xdr:row>19</xdr:row>
      <xdr:rowOff>47625</xdr:rowOff>
    </xdr:to>
    <xdr:pic>
      <xdr:nvPicPr>
        <xdr:cNvPr id="298263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695575"/>
          <a:ext cx="209550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2525781</xdr:colOff>
      <xdr:row>24</xdr:row>
      <xdr:rowOff>160269</xdr:rowOff>
    </xdr:from>
    <xdr:ext cx="1809751" cy="592470"/>
    <mc:AlternateContent xmlns:mc="http://schemas.openxmlformats.org/markup-compatibility/2006" xmlns:a14="http://schemas.microsoft.com/office/drawing/2010/main">
      <mc:Choice Requires="a14">
        <xdr:sp macro="" textlink="">
          <xdr:nvSpPr>
            <xdr:cNvPr id="57" name="ZoneTexte 56"/>
            <xdr:cNvSpPr txBox="1"/>
          </xdr:nvSpPr>
          <xdr:spPr>
            <a:xfrm>
              <a:off x="3087756" y="6037194"/>
              <a:ext cx="180975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i="1">
                        <a:latin typeface="Cambria Math"/>
                      </a:rPr>
                      <m:t>𝑏</m:t>
                    </m:r>
                    <m:r>
                      <a:rPr lang="fr-FR" sz="1100" b="0" i="1">
                        <a:latin typeface="Cambria Math"/>
                      </a:rPr>
                      <m:t>=</m:t>
                    </m:r>
                    <m:rad>
                      <m:radPr>
                        <m:degHide m:val="on"/>
                        <m:ctrlPr>
                          <a:rPr lang="fr-FR" sz="1100" b="0" i="1">
                            <a:latin typeface="Cambria Math" panose="02040503050406030204" pitchFamily="18" charset="0"/>
                          </a:rPr>
                        </m:ctrlPr>
                      </m:radPr>
                      <m:deg/>
                      <m:e>
                        <m:f>
                          <m:fPr>
                            <m:ctrlPr>
                              <a:rPr lang="fr-FR" sz="1100" b="0" i="1">
                                <a:latin typeface="Cambria Math" panose="02040503050406030204" pitchFamily="18" charset="0"/>
                              </a:rPr>
                            </m:ctrlPr>
                          </m:fPr>
                          <m:num>
                            <m:sSub>
                              <m:sSubPr>
                                <m:ctrlPr>
                                  <a:rPr lang="fr-FR" sz="1100" b="0" i="1">
                                    <a:latin typeface="Cambria Math" panose="02040503050406030204" pitchFamily="18" charset="0"/>
                                  </a:rPr>
                                </m:ctrlPr>
                              </m:sSubPr>
                              <m:e>
                                <m:r>
                                  <a:rPr lang="fr-FR" sz="1100" b="0" i="1">
                                    <a:latin typeface="Cambria Math"/>
                                  </a:rPr>
                                  <m:t>𝐹</m:t>
                                </m:r>
                              </m:e>
                              <m:sub>
                                <m:r>
                                  <a:rPr lang="fr-FR" sz="1100" b="0" i="1">
                                    <a:latin typeface="Cambria Math"/>
                                  </a:rPr>
                                  <m:t>𝑁</m:t>
                                </m:r>
                              </m:sub>
                            </m:sSub>
                          </m:num>
                          <m:den>
                            <m:r>
                              <a:rPr lang="fr-FR" sz="1100" b="0" i="1">
                                <a:latin typeface="Cambria Math"/>
                              </a:rPr>
                              <m:t>𝑎</m:t>
                            </m:r>
                          </m:den>
                        </m:f>
                        <m:r>
                          <a:rPr lang="fr-FR" sz="1100" b="0" i="1">
                            <a:latin typeface="Cambria Math"/>
                            <a:ea typeface="Cambria Math"/>
                          </a:rPr>
                          <m:t>×</m:t>
                        </m:r>
                        <m:f>
                          <m:fPr>
                            <m:ctrlPr>
                              <a:rPr lang="fr-FR" sz="1100" b="0" i="1">
                                <a:latin typeface="Cambria Math" panose="02040503050406030204" pitchFamily="18" charset="0"/>
                                <a:ea typeface="Cambria Math"/>
                              </a:rPr>
                            </m:ctrlPr>
                          </m:fPr>
                          <m:num>
                            <m:r>
                              <a:rPr lang="fr-FR" sz="1100" b="0" i="1">
                                <a:latin typeface="Cambria Math"/>
                                <a:ea typeface="Cambria Math"/>
                              </a:rPr>
                              <m:t>4</m:t>
                            </m:r>
                          </m:num>
                          <m:den>
                            <m:r>
                              <a:rPr lang="fr-FR" sz="1100" b="0" i="1">
                                <a:latin typeface="Cambria Math"/>
                                <a:ea typeface="Cambria Math"/>
                              </a:rPr>
                              <m:t>𝜋</m:t>
                            </m:r>
                          </m:den>
                        </m:f>
                        <m:r>
                          <a:rPr lang="fr-FR" sz="1100" b="0" i="1">
                            <a:latin typeface="Cambria Math"/>
                            <a:ea typeface="Cambria Math"/>
                          </a:rPr>
                          <m:t>×</m:t>
                        </m:r>
                        <m:f>
                          <m:fPr>
                            <m:ctrlPr>
                              <a:rPr lang="fr-FR" sz="1100" b="0" i="1">
                                <a:latin typeface="Cambria Math" panose="02040503050406030204" pitchFamily="18" charset="0"/>
                                <a:ea typeface="Cambria Math"/>
                              </a:rPr>
                            </m:ctrlPr>
                          </m:fPr>
                          <m:num>
                            <m:sSub>
                              <m:sSubPr>
                                <m:ctrlPr>
                                  <a:rPr lang="fr-FR" sz="1100" b="0" i="1">
                                    <a:latin typeface="Cambria Math" panose="02040503050406030204" pitchFamily="18" charset="0"/>
                                    <a:ea typeface="Cambria Math"/>
                                  </a:rPr>
                                </m:ctrlPr>
                              </m:sSubPr>
                              <m:e>
                                <m:r>
                                  <a:rPr lang="fr-FR" sz="1100" b="0" i="1">
                                    <a:latin typeface="Cambria Math"/>
                                    <a:ea typeface="Cambria Math"/>
                                  </a:rPr>
                                  <m:t>𝑅</m:t>
                                </m:r>
                              </m:e>
                              <m:sub>
                                <m:r>
                                  <a:rPr lang="fr-FR" sz="1100" b="0" i="1">
                                    <a:latin typeface="Cambria Math"/>
                                    <a:ea typeface="Cambria Math"/>
                                  </a:rPr>
                                  <m:t>𝑒𝑞𝑢𝑖𝑣</m:t>
                                </m:r>
                              </m:sub>
                            </m:sSub>
                          </m:num>
                          <m:den>
                            <m:sSub>
                              <m:sSubPr>
                                <m:ctrlPr>
                                  <a:rPr lang="fr-FR" sz="1100" b="0" i="1">
                                    <a:latin typeface="Cambria Math" panose="02040503050406030204" pitchFamily="18" charset="0"/>
                                    <a:ea typeface="Cambria Math"/>
                                  </a:rPr>
                                </m:ctrlPr>
                              </m:sSubPr>
                              <m:e>
                                <m:r>
                                  <a:rPr lang="fr-FR" sz="1100" b="0" i="1">
                                    <a:latin typeface="Cambria Math"/>
                                    <a:ea typeface="Cambria Math"/>
                                  </a:rPr>
                                  <m:t>𝐸</m:t>
                                </m:r>
                              </m:e>
                              <m:sub>
                                <m:r>
                                  <a:rPr lang="fr-FR" sz="1100" b="0" i="1">
                                    <a:latin typeface="Cambria Math"/>
                                    <a:ea typeface="Cambria Math"/>
                                  </a:rPr>
                                  <m:t>𝑒𝑞𝑢𝑖𝑣</m:t>
                                </m:r>
                              </m:sub>
                            </m:sSub>
                          </m:den>
                        </m:f>
                      </m:e>
                    </m:rad>
                  </m:oMath>
                </m:oMathPara>
              </a14:m>
              <a:endParaRPr lang="fr-FR" sz="1100"/>
            </a:p>
          </xdr:txBody>
        </xdr:sp>
      </mc:Choice>
      <mc:Fallback xmlns="">
        <xdr:sp macro="" textlink="">
          <xdr:nvSpPr>
            <xdr:cNvPr id="57" name="ZoneTexte 56"/>
            <xdr:cNvSpPr txBox="1"/>
          </xdr:nvSpPr>
          <xdr:spPr>
            <a:xfrm>
              <a:off x="3087756" y="6037194"/>
              <a:ext cx="180975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i="0">
                  <a:latin typeface="Cambria Math"/>
                </a:rPr>
                <a:t>𝑏</a:t>
              </a:r>
              <a:r>
                <a:rPr lang="fr-FR" sz="1100" b="0" i="0">
                  <a:latin typeface="Cambria Math"/>
                </a:rPr>
                <a:t>=√(𝐹_𝑁/𝑎</a:t>
              </a:r>
              <a:r>
                <a:rPr lang="fr-FR" sz="1100" b="0" i="0">
                  <a:latin typeface="Cambria Math"/>
                  <a:ea typeface="Cambria Math"/>
                </a:rPr>
                <a:t>×4/𝜋×𝑅_𝑒𝑞𝑢𝑖𝑣/𝐸_𝑒𝑞𝑢𝑖𝑣 )</a:t>
              </a:r>
              <a:endParaRPr lang="fr-FR" sz="1100"/>
            </a:p>
          </xdr:txBody>
        </xdr:sp>
      </mc:Fallback>
    </mc:AlternateContent>
    <xdr:clientData/>
  </xdr:oneCellAnchor>
  <xdr:oneCellAnchor>
    <xdr:from>
      <xdr:col>3</xdr:col>
      <xdr:colOff>235225</xdr:colOff>
      <xdr:row>25</xdr:row>
      <xdr:rowOff>23605</xdr:rowOff>
    </xdr:from>
    <xdr:ext cx="2200276" cy="592470"/>
    <mc:AlternateContent xmlns:mc="http://schemas.openxmlformats.org/markup-compatibility/2006" xmlns:a14="http://schemas.microsoft.com/office/drawing/2010/main">
      <mc:Choice Requires="a14">
        <xdr:sp macro="" textlink="">
          <xdr:nvSpPr>
            <xdr:cNvPr id="58" name="ZoneTexte 57"/>
            <xdr:cNvSpPr txBox="1"/>
          </xdr:nvSpPr>
          <xdr:spPr>
            <a:xfrm>
              <a:off x="4988200" y="6062455"/>
              <a:ext cx="220027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𝑃</m:t>
                    </m:r>
                    <m:d>
                      <m:dPr>
                        <m:ctrlPr>
                          <a:rPr lang="fr-FR" sz="1100" b="0" i="1">
                            <a:latin typeface="Cambria Math" panose="02040503050406030204" pitchFamily="18" charset="0"/>
                          </a:rPr>
                        </m:ctrlPr>
                      </m:dPr>
                      <m:e>
                        <m:r>
                          <a:rPr lang="fr-FR" sz="1100" b="0" i="1">
                            <a:latin typeface="Cambria Math"/>
                          </a:rPr>
                          <m:t>𝑑</m:t>
                        </m:r>
                      </m:e>
                    </m:d>
                    <m:r>
                      <a:rPr lang="fr-FR" sz="1100" b="0" i="1">
                        <a:latin typeface="Cambria Math"/>
                      </a:rPr>
                      <m:t>=</m:t>
                    </m:r>
                    <m:f>
                      <m:fPr>
                        <m:ctrlPr>
                          <a:rPr lang="fr-FR" sz="1100" b="0" i="1">
                            <a:latin typeface="Cambria Math" panose="02040503050406030204" pitchFamily="18" charset="0"/>
                          </a:rPr>
                        </m:ctrlPr>
                      </m:fPr>
                      <m:num>
                        <m:sSub>
                          <m:sSubPr>
                            <m:ctrlPr>
                              <a:rPr lang="fr-FR" sz="1100" b="0" i="1">
                                <a:latin typeface="Cambria Math" panose="02040503050406030204" pitchFamily="18" charset="0"/>
                              </a:rPr>
                            </m:ctrlPr>
                          </m:sSubPr>
                          <m:e>
                            <m:r>
                              <a:rPr lang="fr-FR" sz="1100" b="0" i="1">
                                <a:latin typeface="Cambria Math"/>
                              </a:rPr>
                              <m:t>𝐹</m:t>
                            </m:r>
                          </m:e>
                          <m:sub>
                            <m:r>
                              <a:rPr lang="fr-FR" sz="1100" b="0" i="1">
                                <a:latin typeface="Cambria Math"/>
                              </a:rPr>
                              <m:t>𝑁</m:t>
                            </m:r>
                          </m:sub>
                        </m:sSub>
                      </m:num>
                      <m:den>
                        <m:r>
                          <a:rPr lang="fr-FR" sz="1100" b="0" i="1">
                            <a:latin typeface="Cambria Math"/>
                          </a:rPr>
                          <m:t>𝑎</m:t>
                        </m:r>
                        <m:r>
                          <a:rPr lang="fr-FR" sz="1100" b="0" i="1">
                            <a:latin typeface="Cambria Math"/>
                            <a:ea typeface="Cambria Math"/>
                          </a:rPr>
                          <m:t>×</m:t>
                        </m:r>
                        <m:r>
                          <a:rPr lang="fr-FR" sz="1100" b="0" i="1">
                            <a:latin typeface="Cambria Math"/>
                          </a:rPr>
                          <m:t>𝑏</m:t>
                        </m:r>
                      </m:den>
                    </m:f>
                    <m:r>
                      <a:rPr lang="fr-FR" sz="1100" b="0" i="1">
                        <a:latin typeface="Cambria Math"/>
                        <a:ea typeface="Cambria Math"/>
                      </a:rPr>
                      <m:t>×</m:t>
                    </m:r>
                    <m:f>
                      <m:fPr>
                        <m:ctrlPr>
                          <a:rPr lang="fr-FR" sz="1100" b="0" i="1">
                            <a:latin typeface="Cambria Math" panose="02040503050406030204" pitchFamily="18" charset="0"/>
                            <a:ea typeface="Cambria Math"/>
                          </a:rPr>
                        </m:ctrlPr>
                      </m:fPr>
                      <m:num>
                        <m:r>
                          <a:rPr lang="fr-FR" sz="1100" b="0" i="1">
                            <a:latin typeface="Cambria Math"/>
                            <a:ea typeface="Cambria Math"/>
                          </a:rPr>
                          <m:t>2</m:t>
                        </m:r>
                      </m:num>
                      <m:den>
                        <m:r>
                          <a:rPr lang="fr-FR" sz="1100" b="0" i="1">
                            <a:latin typeface="Cambria Math"/>
                            <a:ea typeface="Cambria Math"/>
                          </a:rPr>
                          <m:t>𝜋</m:t>
                        </m:r>
                      </m:den>
                    </m:f>
                    <m:r>
                      <a:rPr lang="fr-FR" sz="1100" b="0" i="1">
                        <a:latin typeface="Cambria Math"/>
                        <a:ea typeface="Cambria Math"/>
                      </a:rPr>
                      <m:t>×</m:t>
                    </m:r>
                    <m:rad>
                      <m:radPr>
                        <m:degHide m:val="on"/>
                        <m:ctrlPr>
                          <a:rPr lang="fr-FR" sz="1100" b="0" i="1">
                            <a:latin typeface="Cambria Math" panose="02040503050406030204" pitchFamily="18" charset="0"/>
                          </a:rPr>
                        </m:ctrlPr>
                      </m:radPr>
                      <m:deg/>
                      <m:e>
                        <m:r>
                          <a:rPr lang="fr-FR" sz="1100" b="0" i="1">
                            <a:latin typeface="Cambria Math"/>
                          </a:rPr>
                          <m:t>1−</m:t>
                        </m:r>
                        <m:f>
                          <m:fPr>
                            <m:ctrlPr>
                              <a:rPr lang="fr-FR" sz="1100" b="0" i="1">
                                <a:latin typeface="Cambria Math" panose="02040503050406030204" pitchFamily="18" charset="0"/>
                                <a:ea typeface="Cambria Math"/>
                              </a:rPr>
                            </m:ctrlPr>
                          </m:fPr>
                          <m:num>
                            <m:sSup>
                              <m:sSupPr>
                                <m:ctrlPr>
                                  <a:rPr lang="fr-FR" sz="1100" b="0" i="1">
                                    <a:latin typeface="Cambria Math" panose="02040503050406030204" pitchFamily="18" charset="0"/>
                                    <a:ea typeface="Cambria Math"/>
                                  </a:rPr>
                                </m:ctrlPr>
                              </m:sSupPr>
                              <m:e>
                                <m:r>
                                  <a:rPr lang="fr-FR" sz="1100" b="0" i="1">
                                    <a:latin typeface="Cambria Math"/>
                                    <a:ea typeface="Cambria Math"/>
                                  </a:rPr>
                                  <m:t>𝑑</m:t>
                                </m:r>
                              </m:e>
                              <m:sup>
                                <m:r>
                                  <a:rPr lang="fr-FR" sz="1100" b="0" i="1">
                                    <a:latin typeface="Cambria Math"/>
                                    <a:ea typeface="Cambria Math"/>
                                  </a:rPr>
                                  <m:t>2</m:t>
                                </m:r>
                              </m:sup>
                            </m:sSup>
                          </m:num>
                          <m:den>
                            <m:sSup>
                              <m:sSupPr>
                                <m:ctrlPr>
                                  <a:rPr lang="fr-FR" sz="1100" b="0" i="1">
                                    <a:latin typeface="Cambria Math" panose="02040503050406030204" pitchFamily="18" charset="0"/>
                                    <a:ea typeface="Cambria Math"/>
                                  </a:rPr>
                                </m:ctrlPr>
                              </m:sSupPr>
                              <m:e>
                                <m:r>
                                  <a:rPr lang="fr-FR" sz="1100" b="0" i="1">
                                    <a:latin typeface="Cambria Math"/>
                                    <a:ea typeface="Cambria Math"/>
                                  </a:rPr>
                                  <m:t>𝑏</m:t>
                                </m:r>
                              </m:e>
                              <m:sup>
                                <m:r>
                                  <a:rPr lang="fr-FR" sz="1100" b="0" i="1">
                                    <a:latin typeface="Cambria Math"/>
                                    <a:ea typeface="Cambria Math"/>
                                  </a:rPr>
                                  <m:t>2</m:t>
                                </m:r>
                              </m:sup>
                            </m:sSup>
                          </m:den>
                        </m:f>
                      </m:e>
                    </m:rad>
                  </m:oMath>
                </m:oMathPara>
              </a14:m>
              <a:endParaRPr lang="fr-FR" sz="1100"/>
            </a:p>
          </xdr:txBody>
        </xdr:sp>
      </mc:Choice>
      <mc:Fallback xmlns="">
        <xdr:sp macro="" textlink="">
          <xdr:nvSpPr>
            <xdr:cNvPr id="58" name="ZoneTexte 57"/>
            <xdr:cNvSpPr txBox="1"/>
          </xdr:nvSpPr>
          <xdr:spPr>
            <a:xfrm>
              <a:off x="4988200" y="6062455"/>
              <a:ext cx="220027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latin typeface="Cambria Math"/>
                </a:rPr>
                <a:t>𝑃(𝑑)=𝐹_𝑁/(𝑎</a:t>
              </a:r>
              <a:r>
                <a:rPr lang="fr-FR" sz="1100" b="0" i="0">
                  <a:latin typeface="Cambria Math"/>
                  <a:ea typeface="Cambria Math"/>
                </a:rPr>
                <a:t>×</a:t>
              </a:r>
              <a:r>
                <a:rPr lang="fr-FR" sz="1100" b="0" i="0">
                  <a:latin typeface="Cambria Math"/>
                </a:rPr>
                <a:t>𝑏)</a:t>
              </a:r>
              <a:r>
                <a:rPr lang="fr-FR" sz="1100" b="0" i="0">
                  <a:latin typeface="Cambria Math"/>
                  <a:ea typeface="Cambria Math"/>
                </a:rPr>
                <a:t>×2/𝜋×</a:t>
              </a:r>
              <a:r>
                <a:rPr lang="fr-FR" sz="1100" b="0" i="0">
                  <a:latin typeface="Cambria Math"/>
                </a:rPr>
                <a:t>√(1−</a:t>
              </a:r>
              <a:r>
                <a:rPr lang="fr-FR" sz="1100" b="0" i="0">
                  <a:latin typeface="Cambria Math"/>
                  <a:ea typeface="Cambria Math"/>
                </a:rPr>
                <a:t>𝑑^2/𝑏^2 )</a:t>
              </a:r>
              <a:endParaRPr lang="fr-FR" sz="1100"/>
            </a:p>
          </xdr:txBody>
        </xdr:sp>
      </mc:Fallback>
    </mc:AlternateContent>
    <xdr:clientData/>
  </xdr:oneCellAnchor>
  <xdr:twoCellAnchor>
    <xdr:from>
      <xdr:col>5</xdr:col>
      <xdr:colOff>466725</xdr:colOff>
      <xdr:row>30</xdr:row>
      <xdr:rowOff>38100</xdr:rowOff>
    </xdr:from>
    <xdr:to>
      <xdr:col>11</xdr:col>
      <xdr:colOff>457200</xdr:colOff>
      <xdr:row>49</xdr:row>
      <xdr:rowOff>76200</xdr:rowOff>
    </xdr:to>
    <xdr:graphicFrame macro="">
      <xdr:nvGraphicFramePr>
        <xdr:cNvPr id="2982638" name="Graphique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447675</xdr:colOff>
      <xdr:row>71</xdr:row>
      <xdr:rowOff>66675</xdr:rowOff>
    </xdr:from>
    <xdr:to>
      <xdr:col>11</xdr:col>
      <xdr:colOff>495300</xdr:colOff>
      <xdr:row>95</xdr:row>
      <xdr:rowOff>19050</xdr:rowOff>
    </xdr:to>
    <xdr:graphicFrame macro="">
      <xdr:nvGraphicFramePr>
        <xdr:cNvPr id="2982639" name="Graphique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457200</xdr:colOff>
      <xdr:row>50</xdr:row>
      <xdr:rowOff>0</xdr:rowOff>
    </xdr:from>
    <xdr:to>
      <xdr:col>11</xdr:col>
      <xdr:colOff>476250</xdr:colOff>
      <xdr:row>71</xdr:row>
      <xdr:rowOff>0</xdr:rowOff>
    </xdr:to>
    <xdr:graphicFrame macro="">
      <xdr:nvGraphicFramePr>
        <xdr:cNvPr id="2982640" name="Graphique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2628901</xdr:colOff>
      <xdr:row>21</xdr:row>
      <xdr:rowOff>152400</xdr:rowOff>
    </xdr:from>
    <xdr:to>
      <xdr:col>2</xdr:col>
      <xdr:colOff>476251</xdr:colOff>
      <xdr:row>23</xdr:row>
      <xdr:rowOff>95250</xdr:rowOff>
    </xdr:to>
    <xdr:sp macro="" textlink="">
      <xdr:nvSpPr>
        <xdr:cNvPr id="2" name="ZoneTexte 1"/>
        <xdr:cNvSpPr txBox="1"/>
      </xdr:nvSpPr>
      <xdr:spPr>
        <a:xfrm>
          <a:off x="3190876" y="5543550"/>
          <a:ext cx="12763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contact conformel</a:t>
          </a:r>
        </a:p>
      </xdr:txBody>
    </xdr:sp>
    <xdr:clientData/>
  </xdr:twoCellAnchor>
  <xdr:twoCellAnchor>
    <xdr:from>
      <xdr:col>4</xdr:col>
      <xdr:colOff>180309</xdr:colOff>
      <xdr:row>21</xdr:row>
      <xdr:rowOff>152400</xdr:rowOff>
    </xdr:from>
    <xdr:to>
      <xdr:col>6</xdr:col>
      <xdr:colOff>200693</xdr:colOff>
      <xdr:row>23</xdr:row>
      <xdr:rowOff>95250</xdr:rowOff>
    </xdr:to>
    <xdr:sp macro="" textlink="">
      <xdr:nvSpPr>
        <xdr:cNvPr id="25" name="ZoneTexte 24"/>
        <xdr:cNvSpPr txBox="1"/>
      </xdr:nvSpPr>
      <xdr:spPr>
        <a:xfrm>
          <a:off x="5695284" y="5543550"/>
          <a:ext cx="1544384"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contact contraformel</a:t>
          </a:r>
        </a:p>
      </xdr:txBody>
    </xdr:sp>
    <xdr:clientData/>
  </xdr:twoCellAnchor>
  <xdr:oneCellAnchor>
    <xdr:from>
      <xdr:col>0</xdr:col>
      <xdr:colOff>133350</xdr:colOff>
      <xdr:row>25</xdr:row>
      <xdr:rowOff>66675</xdr:rowOff>
    </xdr:from>
    <xdr:ext cx="1442424" cy="436914"/>
    <mc:AlternateContent xmlns:mc="http://schemas.openxmlformats.org/markup-compatibility/2006" xmlns:a14="http://schemas.microsoft.com/office/drawing/2010/main">
      <mc:Choice Requires="a14">
        <xdr:sp macro="" textlink="">
          <xdr:nvSpPr>
            <xdr:cNvPr id="26" name="ZoneTexte 25"/>
            <xdr:cNvSpPr txBox="1"/>
          </xdr:nvSpPr>
          <xdr:spPr>
            <a:xfrm>
              <a:off x="133350" y="6105525"/>
              <a:ext cx="1442424"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𝑒𝑞𝑢𝑖𝑣</m:t>
                        </m:r>
                      </m:sub>
                    </m:sSub>
                    <m:r>
                      <a:rPr lang="fr-FR" sz="1100" b="0" i="1">
                        <a:solidFill>
                          <a:schemeClr val="tx1"/>
                        </a:solidFill>
                        <a:effectLst/>
                        <a:latin typeface="Cambria Math"/>
                        <a:ea typeface="+mn-ea"/>
                        <a:cs typeface="+mn-cs"/>
                      </a:rPr>
                      <m:t>=</m:t>
                    </m:r>
                    <m:f>
                      <m:fPr>
                        <m:ctrlPr>
                          <a:rPr lang="fr-FR" sz="1100" b="0" i="1">
                            <a:solidFill>
                              <a:schemeClr val="tx1"/>
                            </a:solidFill>
                            <a:effectLst/>
                            <a:latin typeface="Cambria Math" panose="02040503050406030204" pitchFamily="18" charset="0"/>
                            <a:ea typeface="+mn-ea"/>
                            <a:cs typeface="+mn-cs"/>
                          </a:rPr>
                        </m:ctrlPr>
                      </m:fPr>
                      <m:num>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1</m:t>
                            </m:r>
                          </m:sub>
                        </m:sSub>
                        <m:r>
                          <a:rPr lang="fr-FR" sz="1100" b="0" i="1">
                            <a:solidFill>
                              <a:schemeClr val="tx1"/>
                            </a:solidFill>
                            <a:effectLst/>
                            <a:latin typeface="Cambria Math"/>
                            <a:ea typeface="+mn-ea"/>
                            <a:cs typeface="+mn-cs"/>
                          </a:rPr>
                          <m:t>.</m:t>
                        </m:r>
                        <m:sSub>
                          <m:sSubPr>
                            <m:ctrlPr>
                              <a:rPr lang="fr-FR" sz="1100" b="0" i="1">
                                <a:solidFill>
                                  <a:schemeClr val="tx1"/>
                                </a:solidFill>
                                <a:effectLst/>
                                <a:latin typeface="Cambria Math" panose="02040503050406030204" pitchFamily="18" charset="0"/>
                                <a:ea typeface="Cambria Math"/>
                                <a:cs typeface="+mn-cs"/>
                              </a:rPr>
                            </m:ctrlPr>
                          </m:sSubPr>
                          <m:e>
                            <m:r>
                              <a:rPr lang="fr-FR" sz="1100" b="0" i="1">
                                <a:solidFill>
                                  <a:schemeClr val="tx1"/>
                                </a:solidFill>
                                <a:effectLst/>
                                <a:latin typeface="Cambria Math"/>
                                <a:ea typeface="Cambria Math"/>
                                <a:cs typeface="+mn-cs"/>
                              </a:rPr>
                              <m:t>𝑅</m:t>
                            </m:r>
                          </m:e>
                          <m:sub>
                            <m:r>
                              <a:rPr lang="fr-FR" sz="1100" b="0" i="1">
                                <a:solidFill>
                                  <a:schemeClr val="tx1"/>
                                </a:solidFill>
                                <a:effectLst/>
                                <a:latin typeface="Cambria Math"/>
                                <a:ea typeface="Cambria Math"/>
                                <a:cs typeface="+mn-cs"/>
                              </a:rPr>
                              <m:t>2</m:t>
                            </m:r>
                          </m:sub>
                        </m:sSub>
                      </m:num>
                      <m:den>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1</m:t>
                            </m:r>
                          </m:sub>
                        </m:sSub>
                        <m:r>
                          <a:rPr lang="fr-FR" sz="1100" b="0" i="1">
                            <a:solidFill>
                              <a:schemeClr val="tx1"/>
                            </a:solidFill>
                            <a:effectLst/>
                            <a:latin typeface="Cambria Math"/>
                            <a:ea typeface="+mn-ea"/>
                            <a:cs typeface="+mn-cs"/>
                          </a:rPr>
                          <m:t>+</m:t>
                        </m:r>
                        <m:sSub>
                          <m:sSubPr>
                            <m:ctrlPr>
                              <a:rPr lang="fr-FR" sz="1100" b="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a:ea typeface="+mn-ea"/>
                                <a:cs typeface="+mn-cs"/>
                              </a:rPr>
                              <m:t>𝑅</m:t>
                            </m:r>
                          </m:e>
                          <m:sub>
                            <m:r>
                              <a:rPr lang="fr-FR" sz="1100" b="0" i="1">
                                <a:solidFill>
                                  <a:schemeClr val="tx1"/>
                                </a:solidFill>
                                <a:effectLst/>
                                <a:latin typeface="Cambria Math"/>
                                <a:ea typeface="+mn-ea"/>
                                <a:cs typeface="+mn-cs"/>
                              </a:rPr>
                              <m:t>2</m:t>
                            </m:r>
                          </m:sub>
                        </m:sSub>
                      </m:den>
                    </m:f>
                  </m:oMath>
                </m:oMathPara>
              </a14:m>
              <a:endParaRPr lang="fr-FR" sz="1100"/>
            </a:p>
          </xdr:txBody>
        </xdr:sp>
      </mc:Choice>
      <mc:Fallback xmlns="">
        <xdr:sp macro="" textlink="">
          <xdr:nvSpPr>
            <xdr:cNvPr id="26" name="ZoneTexte 25"/>
            <xdr:cNvSpPr txBox="1"/>
          </xdr:nvSpPr>
          <xdr:spPr>
            <a:xfrm>
              <a:off x="133350" y="6105525"/>
              <a:ext cx="1442424"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solidFill>
                    <a:schemeClr val="tx1"/>
                  </a:solidFill>
                  <a:effectLst/>
                  <a:latin typeface="Cambria Math"/>
                  <a:ea typeface="+mn-ea"/>
                  <a:cs typeface="+mn-cs"/>
                </a:rPr>
                <a:t>𝑅_𝑒𝑞𝑢𝑖𝑣=(𝑅_1.</a:t>
              </a:r>
              <a:r>
                <a:rPr lang="fr-FR" sz="1100" b="0" i="0">
                  <a:solidFill>
                    <a:schemeClr val="tx1"/>
                  </a:solidFill>
                  <a:effectLst/>
                  <a:latin typeface="Cambria Math"/>
                  <a:ea typeface="Cambria Math"/>
                  <a:cs typeface="+mn-cs"/>
                </a:rPr>
                <a:t>𝑅_2</a:t>
              </a:r>
              <a:r>
                <a:rPr lang="fr-FR" sz="1100" b="0" i="0">
                  <a:solidFill>
                    <a:schemeClr val="tx1"/>
                  </a:solidFill>
                  <a:effectLst/>
                  <a:latin typeface="Cambria Math"/>
                  <a:ea typeface="+mn-ea"/>
                  <a:cs typeface="+mn-cs"/>
                </a:rPr>
                <a:t>)/(𝑅_1+𝑅_2 )</a:t>
              </a:r>
              <a:endParaRPr lang="fr-FR" sz="1100"/>
            </a:p>
          </xdr:txBody>
        </xdr:sp>
      </mc:Fallback>
    </mc:AlternateContent>
    <xdr:clientData/>
  </xdr:oneCellAnchor>
  <xdr:oneCellAnchor>
    <xdr:from>
      <xdr:col>1</xdr:col>
      <xdr:colOff>1260662</xdr:colOff>
      <xdr:row>25</xdr:row>
      <xdr:rowOff>60514</xdr:rowOff>
    </xdr:from>
    <xdr:ext cx="1089771" cy="462371"/>
    <mc:AlternateContent xmlns:mc="http://schemas.openxmlformats.org/markup-compatibility/2006" xmlns:a14="http://schemas.microsoft.com/office/drawing/2010/main">
      <mc:Choice Requires="a14">
        <xdr:sp macro="" textlink="">
          <xdr:nvSpPr>
            <xdr:cNvPr id="27" name="ZoneTexte 26"/>
            <xdr:cNvSpPr txBox="1"/>
          </xdr:nvSpPr>
          <xdr:spPr>
            <a:xfrm>
              <a:off x="1822637" y="6099364"/>
              <a:ext cx="1089771" cy="462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a:rPr>
                          <m:t>𝐾</m:t>
                        </m:r>
                      </m:e>
                      <m:sub>
                        <m:r>
                          <a:rPr lang="fr-FR" sz="1100" b="0" i="1">
                            <a:latin typeface="Cambria Math"/>
                          </a:rPr>
                          <m:t>𝑖</m:t>
                        </m:r>
                      </m:sub>
                    </m:sSub>
                    <m:r>
                      <a:rPr lang="fr-FR" sz="1100" b="0" i="1">
                        <a:latin typeface="Cambria Math"/>
                      </a:rPr>
                      <m:t>=</m:t>
                    </m:r>
                    <m:f>
                      <m:fPr>
                        <m:ctrlPr>
                          <a:rPr lang="fr-FR" sz="1100" b="0" i="1">
                            <a:latin typeface="Cambria Math" panose="02040503050406030204" pitchFamily="18" charset="0"/>
                          </a:rPr>
                        </m:ctrlPr>
                      </m:fPr>
                      <m:num>
                        <m:r>
                          <a:rPr lang="fr-FR" sz="1100" b="0" i="1">
                            <a:latin typeface="Cambria Math"/>
                          </a:rPr>
                          <m:t>1−</m:t>
                        </m:r>
                        <m:sSubSup>
                          <m:sSubSupPr>
                            <m:ctrlPr>
                              <a:rPr lang="fr-FR" sz="1100" b="0" i="1">
                                <a:latin typeface="Cambria Math" panose="02040503050406030204" pitchFamily="18" charset="0"/>
                              </a:rPr>
                            </m:ctrlPr>
                          </m:sSubSupPr>
                          <m:e>
                            <m:r>
                              <m:rPr>
                                <m:sty m:val="p"/>
                              </m:rPr>
                              <a:rPr lang="el-GR" sz="1100" b="0" i="1">
                                <a:latin typeface="Cambria Math"/>
                              </a:rPr>
                              <m:t>ν</m:t>
                            </m:r>
                          </m:e>
                          <m:sub>
                            <m:r>
                              <a:rPr lang="fr-FR" sz="1100" b="0" i="1">
                                <a:latin typeface="Cambria Math"/>
                              </a:rPr>
                              <m:t>𝑖</m:t>
                            </m:r>
                          </m:sub>
                          <m:sup>
                            <m:r>
                              <a:rPr lang="fr-FR" sz="1100" b="0" i="1">
                                <a:latin typeface="Cambria Math"/>
                              </a:rPr>
                              <m:t>2</m:t>
                            </m:r>
                          </m:sup>
                        </m:sSubSup>
                      </m:num>
                      <m:den>
                        <m:r>
                          <a:rPr lang="fr-FR" sz="1100" b="0" i="1">
                            <a:latin typeface="Cambria Math"/>
                            <a:ea typeface="Cambria Math"/>
                          </a:rPr>
                          <m:t>𝜋</m:t>
                        </m:r>
                        <m:r>
                          <a:rPr lang="fr-FR" sz="1100" b="0" i="1">
                            <a:latin typeface="Cambria Math"/>
                            <a:ea typeface="Cambria Math"/>
                          </a:rPr>
                          <m:t>.</m:t>
                        </m:r>
                        <m:sSub>
                          <m:sSubPr>
                            <m:ctrlPr>
                              <a:rPr lang="fr-FR" sz="1100" b="0" i="1">
                                <a:latin typeface="Cambria Math" panose="02040503050406030204" pitchFamily="18" charset="0"/>
                              </a:rPr>
                            </m:ctrlPr>
                          </m:sSubPr>
                          <m:e>
                            <m:r>
                              <a:rPr lang="fr-FR" sz="1100" b="0" i="1">
                                <a:latin typeface="Cambria Math"/>
                              </a:rPr>
                              <m:t>𝐸</m:t>
                            </m:r>
                          </m:e>
                          <m:sub>
                            <m:r>
                              <a:rPr lang="fr-FR" sz="1100" b="0" i="1">
                                <a:latin typeface="Cambria Math"/>
                              </a:rPr>
                              <m:t>𝑖</m:t>
                            </m:r>
                          </m:sub>
                        </m:sSub>
                      </m:den>
                    </m:f>
                  </m:oMath>
                </m:oMathPara>
              </a14:m>
              <a:endParaRPr lang="fr-FR" sz="1100"/>
            </a:p>
          </xdr:txBody>
        </xdr:sp>
      </mc:Choice>
      <mc:Fallback xmlns="">
        <xdr:sp macro="" textlink="">
          <xdr:nvSpPr>
            <xdr:cNvPr id="27" name="ZoneTexte 26"/>
            <xdr:cNvSpPr txBox="1"/>
          </xdr:nvSpPr>
          <xdr:spPr>
            <a:xfrm>
              <a:off x="1822637" y="6099364"/>
              <a:ext cx="1089771" cy="462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latin typeface="Cambria Math"/>
                </a:rPr>
                <a:t>𝐾_𝑖=(1−</a:t>
              </a:r>
              <a:r>
                <a:rPr lang="el-GR" sz="1100" b="0" i="0">
                  <a:latin typeface="Cambria Math"/>
                </a:rPr>
                <a:t>ν</a:t>
              </a:r>
              <a:r>
                <a:rPr lang="fr-FR" sz="1100" b="0" i="0">
                  <a:latin typeface="Cambria Math"/>
                </a:rPr>
                <a:t>_𝑖^2)/(</a:t>
              </a:r>
              <a:r>
                <a:rPr lang="fr-FR" sz="1100" b="0" i="0">
                  <a:latin typeface="Cambria Math"/>
                  <a:ea typeface="Cambria Math"/>
                </a:rPr>
                <a:t>𝜋.</a:t>
              </a:r>
              <a:r>
                <a:rPr lang="fr-FR" sz="1100" b="0" i="0">
                  <a:latin typeface="Cambria Math"/>
                </a:rPr>
                <a:t>𝐸_𝑖 )</a:t>
              </a:r>
              <a:endParaRPr lang="fr-FR" sz="1100"/>
            </a:p>
          </xdr:txBody>
        </xdr:sp>
      </mc:Fallback>
    </mc:AlternateContent>
    <xdr:clientData/>
  </xdr:oneCellAnchor>
  <xdr:twoCellAnchor>
    <xdr:from>
      <xdr:col>1</xdr:col>
      <xdr:colOff>198815</xdr:colOff>
      <xdr:row>15</xdr:row>
      <xdr:rowOff>24053</xdr:rowOff>
    </xdr:from>
    <xdr:to>
      <xdr:col>1</xdr:col>
      <xdr:colOff>488706</xdr:colOff>
      <xdr:row>16</xdr:row>
      <xdr:rowOff>131574</xdr:rowOff>
    </xdr:to>
    <xdr:sp macro="" textlink="">
      <xdr:nvSpPr>
        <xdr:cNvPr id="3" name="ZoneTexte 2"/>
        <xdr:cNvSpPr txBox="1"/>
      </xdr:nvSpPr>
      <xdr:spPr>
        <a:xfrm>
          <a:off x="761022" y="3671431"/>
          <a:ext cx="289891" cy="270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O</a:t>
          </a:r>
        </a:p>
      </xdr:txBody>
    </xdr:sp>
    <xdr:clientData/>
  </xdr:twoCellAnchor>
  <xdr:twoCellAnchor>
    <xdr:from>
      <xdr:col>1</xdr:col>
      <xdr:colOff>147997</xdr:colOff>
      <xdr:row>19</xdr:row>
      <xdr:rowOff>155452</xdr:rowOff>
    </xdr:from>
    <xdr:to>
      <xdr:col>1</xdr:col>
      <xdr:colOff>1238250</xdr:colOff>
      <xdr:row>21</xdr:row>
      <xdr:rowOff>57150</xdr:rowOff>
    </xdr:to>
    <xdr:sp macro="" textlink="">
      <xdr:nvSpPr>
        <xdr:cNvPr id="4" name="ZoneTexte 3"/>
        <xdr:cNvSpPr txBox="1"/>
      </xdr:nvSpPr>
      <xdr:spPr>
        <a:xfrm>
          <a:off x="709972" y="5222752"/>
          <a:ext cx="1090253" cy="225548"/>
        </a:xfrm>
        <a:prstGeom prst="rect">
          <a:avLst/>
        </a:prstGeom>
        <a:solidFill>
          <a:srgbClr val="0070C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2</a:t>
          </a:r>
          <a:r>
            <a:rPr lang="fr-FR" sz="1100" b="1"/>
            <a:t> = infini</a:t>
          </a:r>
          <a:r>
            <a:rPr lang="fr-FR" sz="1100" b="1" baseline="0"/>
            <a:t> </a:t>
          </a:r>
          <a:r>
            <a:rPr lang="fr-FR" sz="1100" b="1"/>
            <a:t>et E</a:t>
          </a:r>
          <a:r>
            <a:rPr lang="fr-FR" sz="1100" b="1" baseline="-25000"/>
            <a:t>2</a:t>
          </a:r>
        </a:p>
      </xdr:txBody>
    </xdr:sp>
    <xdr:clientData/>
  </xdr:twoCellAnchor>
  <xdr:twoCellAnchor>
    <xdr:from>
      <xdr:col>1</xdr:col>
      <xdr:colOff>1213183</xdr:colOff>
      <xdr:row>8</xdr:row>
      <xdr:rowOff>71689</xdr:rowOff>
    </xdr:from>
    <xdr:to>
      <xdr:col>1</xdr:col>
      <xdr:colOff>1849854</xdr:colOff>
      <xdr:row>9</xdr:row>
      <xdr:rowOff>121819</xdr:rowOff>
    </xdr:to>
    <xdr:sp macro="" textlink="">
      <xdr:nvSpPr>
        <xdr:cNvPr id="42" name="ZoneTexte 41"/>
        <xdr:cNvSpPr txBox="1"/>
      </xdr:nvSpPr>
      <xdr:spPr>
        <a:xfrm>
          <a:off x="1930359" y="2548189"/>
          <a:ext cx="636671" cy="207012"/>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1</a:t>
          </a:r>
          <a:r>
            <a:rPr lang="fr-FR" sz="1100" b="1"/>
            <a:t> et E</a:t>
          </a:r>
          <a:r>
            <a:rPr lang="fr-FR" sz="1100" b="1" baseline="-25000"/>
            <a:t>1</a:t>
          </a:r>
        </a:p>
      </xdr:txBody>
    </xdr:sp>
    <xdr:clientData/>
  </xdr:twoCellAnchor>
  <xdr:twoCellAnchor>
    <xdr:from>
      <xdr:col>1</xdr:col>
      <xdr:colOff>1196720</xdr:colOff>
      <xdr:row>4</xdr:row>
      <xdr:rowOff>122322</xdr:rowOff>
    </xdr:from>
    <xdr:to>
      <xdr:col>1</xdr:col>
      <xdr:colOff>1796213</xdr:colOff>
      <xdr:row>6</xdr:row>
      <xdr:rowOff>8529</xdr:rowOff>
    </xdr:to>
    <xdr:sp macro="" textlink="">
      <xdr:nvSpPr>
        <xdr:cNvPr id="43" name="ZoneTexte 42"/>
        <xdr:cNvSpPr txBox="1"/>
      </xdr:nvSpPr>
      <xdr:spPr>
        <a:xfrm>
          <a:off x="1758695" y="1979697"/>
          <a:ext cx="599493" cy="210057"/>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F</a:t>
          </a:r>
          <a:r>
            <a:rPr lang="fr-FR" sz="1100" b="1" baseline="-25000"/>
            <a:t>N</a:t>
          </a:r>
        </a:p>
      </xdr:txBody>
    </xdr:sp>
    <xdr:clientData/>
  </xdr:twoCellAnchor>
  <xdr:twoCellAnchor>
    <xdr:from>
      <xdr:col>0</xdr:col>
      <xdr:colOff>523875</xdr:colOff>
      <xdr:row>12</xdr:row>
      <xdr:rowOff>47625</xdr:rowOff>
    </xdr:from>
    <xdr:to>
      <xdr:col>1</xdr:col>
      <xdr:colOff>876300</xdr:colOff>
      <xdr:row>17</xdr:row>
      <xdr:rowOff>85725</xdr:rowOff>
    </xdr:to>
    <xdr:grpSp>
      <xdr:nvGrpSpPr>
        <xdr:cNvPr id="2982649" name="Groupe 18"/>
        <xdr:cNvGrpSpPr>
          <a:grpSpLocks/>
        </xdr:cNvGrpSpPr>
      </xdr:nvGrpSpPr>
      <xdr:grpSpPr bwMode="auto">
        <a:xfrm>
          <a:off x="523875" y="4017645"/>
          <a:ext cx="931545" cy="876300"/>
          <a:chOff x="5929315" y="2547258"/>
          <a:chExt cx="1839677" cy="1730934"/>
        </a:xfrm>
      </xdr:grpSpPr>
      <xdr:cxnSp macro="">
        <xdr:nvCxnSpPr>
          <xdr:cNvPr id="29" name="Connecteur droit avec flèche 28"/>
          <xdr:cNvCxnSpPr/>
        </xdr:nvCxnSpPr>
        <xdr:spPr>
          <a:xfrm flipH="1">
            <a:off x="6063458" y="3519693"/>
            <a:ext cx="555736" cy="50566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Connecteur droit avec flèche 29"/>
          <xdr:cNvCxnSpPr/>
        </xdr:nvCxnSpPr>
        <xdr:spPr>
          <a:xfrm>
            <a:off x="6638357" y="3519693"/>
            <a:ext cx="843185" cy="97243"/>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Connecteur droit avec flèche 30"/>
          <xdr:cNvCxnSpPr/>
        </xdr:nvCxnSpPr>
        <xdr:spPr>
          <a:xfrm flipV="1">
            <a:off x="6638357" y="2819540"/>
            <a:ext cx="0" cy="719602"/>
          </a:xfrm>
          <a:prstGeom prst="straightConnector1">
            <a:avLst/>
          </a:prstGeom>
          <a:ln w="19050">
            <a:solidFill>
              <a:srgbClr val="0B4AFB"/>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ZoneTexte 31"/>
          <xdr:cNvSpPr txBox="1"/>
        </xdr:nvSpPr>
        <xdr:spPr>
          <a:xfrm>
            <a:off x="6504214" y="2547258"/>
            <a:ext cx="249123" cy="27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B4AFB"/>
                </a:solidFill>
              </a:rPr>
              <a:t>Z</a:t>
            </a:r>
          </a:p>
        </xdr:txBody>
      </xdr:sp>
      <xdr:sp macro="" textlink="">
        <xdr:nvSpPr>
          <xdr:cNvPr id="33" name="ZoneTexte 32"/>
          <xdr:cNvSpPr txBox="1"/>
        </xdr:nvSpPr>
        <xdr:spPr>
          <a:xfrm>
            <a:off x="7519869" y="3383552"/>
            <a:ext cx="249123" cy="27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0B050"/>
                </a:solidFill>
              </a:rPr>
              <a:t>Y</a:t>
            </a:r>
          </a:p>
        </xdr:txBody>
      </xdr:sp>
      <xdr:sp macro="" textlink="">
        <xdr:nvSpPr>
          <xdr:cNvPr id="34" name="ZoneTexte 33"/>
          <xdr:cNvSpPr txBox="1"/>
        </xdr:nvSpPr>
        <xdr:spPr>
          <a:xfrm>
            <a:off x="5929315" y="4005910"/>
            <a:ext cx="249123" cy="27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FF0000"/>
                </a:solidFill>
              </a:rPr>
              <a:t>X</a:t>
            </a:r>
          </a:p>
        </xdr:txBody>
      </xdr:sp>
    </xdr:grpSp>
    <xdr:clientData/>
  </xdr:twoCellAnchor>
  <xdr:twoCellAnchor>
    <xdr:from>
      <xdr:col>2</xdr:col>
      <xdr:colOff>670260</xdr:colOff>
      <xdr:row>8</xdr:row>
      <xdr:rowOff>81214</xdr:rowOff>
    </xdr:from>
    <xdr:to>
      <xdr:col>3</xdr:col>
      <xdr:colOff>544931</xdr:colOff>
      <xdr:row>9</xdr:row>
      <xdr:rowOff>131344</xdr:rowOff>
    </xdr:to>
    <xdr:sp macro="" textlink="">
      <xdr:nvSpPr>
        <xdr:cNvPr id="46" name="ZoneTexte 45"/>
        <xdr:cNvSpPr txBox="1"/>
      </xdr:nvSpPr>
      <xdr:spPr>
        <a:xfrm>
          <a:off x="4575510" y="2586289"/>
          <a:ext cx="636671" cy="21205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1</a:t>
          </a:r>
          <a:r>
            <a:rPr lang="fr-FR" sz="1100" b="1"/>
            <a:t> &gt; 0</a:t>
          </a:r>
          <a:endParaRPr lang="fr-FR" sz="1100" b="1" baseline="-25000"/>
        </a:p>
      </xdr:txBody>
    </xdr:sp>
    <xdr:clientData/>
  </xdr:twoCellAnchor>
  <xdr:twoCellAnchor>
    <xdr:from>
      <xdr:col>1</xdr:col>
      <xdr:colOff>2984835</xdr:colOff>
      <xdr:row>19</xdr:row>
      <xdr:rowOff>157414</xdr:rowOff>
    </xdr:from>
    <xdr:to>
      <xdr:col>2</xdr:col>
      <xdr:colOff>192506</xdr:colOff>
      <xdr:row>21</xdr:row>
      <xdr:rowOff>45619</xdr:rowOff>
    </xdr:to>
    <xdr:sp macro="" textlink="">
      <xdr:nvSpPr>
        <xdr:cNvPr id="47" name="ZoneTexte 46"/>
        <xdr:cNvSpPr txBox="1"/>
      </xdr:nvSpPr>
      <xdr:spPr>
        <a:xfrm>
          <a:off x="3546810" y="5224714"/>
          <a:ext cx="636671" cy="212055"/>
        </a:xfrm>
        <a:prstGeom prst="rect">
          <a:avLst/>
        </a:prstGeom>
        <a:solidFill>
          <a:srgbClr val="0070C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2</a:t>
          </a:r>
          <a:r>
            <a:rPr lang="fr-FR" sz="1100" b="1"/>
            <a:t> &lt; 0</a:t>
          </a:r>
          <a:endParaRPr lang="fr-FR" sz="1100" b="1" baseline="-25000"/>
        </a:p>
      </xdr:txBody>
    </xdr:sp>
    <xdr:clientData/>
  </xdr:twoCellAnchor>
  <xdr:twoCellAnchor>
    <xdr:from>
      <xdr:col>6</xdr:col>
      <xdr:colOff>213060</xdr:colOff>
      <xdr:row>8</xdr:row>
      <xdr:rowOff>5014</xdr:rowOff>
    </xdr:from>
    <xdr:to>
      <xdr:col>7</xdr:col>
      <xdr:colOff>287756</xdr:colOff>
      <xdr:row>9</xdr:row>
      <xdr:rowOff>55144</xdr:rowOff>
    </xdr:to>
    <xdr:sp macro="" textlink="">
      <xdr:nvSpPr>
        <xdr:cNvPr id="59" name="ZoneTexte 58"/>
        <xdr:cNvSpPr txBox="1"/>
      </xdr:nvSpPr>
      <xdr:spPr>
        <a:xfrm>
          <a:off x="7166310" y="2510089"/>
          <a:ext cx="636671" cy="21205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1</a:t>
          </a:r>
          <a:r>
            <a:rPr lang="fr-FR" sz="1100" b="1"/>
            <a:t> &gt; 0</a:t>
          </a:r>
          <a:endParaRPr lang="fr-FR" sz="1100" b="1" baseline="-25000"/>
        </a:p>
      </xdr:txBody>
    </xdr:sp>
    <xdr:clientData/>
  </xdr:twoCellAnchor>
  <xdr:twoCellAnchor>
    <xdr:from>
      <xdr:col>4</xdr:col>
      <xdr:colOff>622635</xdr:colOff>
      <xdr:row>20</xdr:row>
      <xdr:rowOff>5014</xdr:rowOff>
    </xdr:from>
    <xdr:to>
      <xdr:col>5</xdr:col>
      <xdr:colOff>497306</xdr:colOff>
      <xdr:row>21</xdr:row>
      <xdr:rowOff>55144</xdr:rowOff>
    </xdr:to>
    <xdr:sp macro="" textlink="">
      <xdr:nvSpPr>
        <xdr:cNvPr id="60" name="ZoneTexte 59"/>
        <xdr:cNvSpPr txBox="1"/>
      </xdr:nvSpPr>
      <xdr:spPr>
        <a:xfrm>
          <a:off x="6137610" y="5234239"/>
          <a:ext cx="636671" cy="212055"/>
        </a:xfrm>
        <a:prstGeom prst="rect">
          <a:avLst/>
        </a:prstGeom>
        <a:solidFill>
          <a:srgbClr val="0070C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R</a:t>
          </a:r>
          <a:r>
            <a:rPr lang="fr-FR" sz="1100" b="1" baseline="-25000"/>
            <a:t>2</a:t>
          </a:r>
          <a:r>
            <a:rPr lang="fr-FR" sz="1100" b="1"/>
            <a:t> &gt; 0</a:t>
          </a:r>
          <a:endParaRPr lang="fr-FR" sz="1100" b="1" baseline="-25000"/>
        </a:p>
      </xdr:txBody>
    </xdr:sp>
    <xdr:clientData/>
  </xdr:twoCellAnchor>
  <xdr:twoCellAnchor editAs="oneCell">
    <xdr:from>
      <xdr:col>0</xdr:col>
      <xdr:colOff>66675</xdr:colOff>
      <xdr:row>0</xdr:row>
      <xdr:rowOff>57150</xdr:rowOff>
    </xdr:from>
    <xdr:to>
      <xdr:col>1</xdr:col>
      <xdr:colOff>0</xdr:colOff>
      <xdr:row>1</xdr:row>
      <xdr:rowOff>152400</xdr:rowOff>
    </xdr:to>
    <xdr:pic>
      <xdr:nvPicPr>
        <xdr:cNvPr id="2982654" name="Picture 296" descr="CNRS-filaire-Quadri"/>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675" y="57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97</xdr:row>
      <xdr:rowOff>19050</xdr:rowOff>
    </xdr:from>
    <xdr:to>
      <xdr:col>1</xdr:col>
      <xdr:colOff>714375</xdr:colOff>
      <xdr:row>99</xdr:row>
      <xdr:rowOff>133350</xdr:rowOff>
    </xdr:to>
    <xdr:pic>
      <xdr:nvPicPr>
        <xdr:cNvPr id="2982655" name="Image 34"/>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575" y="17545050"/>
          <a:ext cx="1247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17184</xdr:colOff>
      <xdr:row>2</xdr:row>
      <xdr:rowOff>1790768</xdr:rowOff>
    </xdr:from>
    <xdr:to>
      <xdr:col>11</xdr:col>
      <xdr:colOff>541220</xdr:colOff>
      <xdr:row>14</xdr:row>
      <xdr:rowOff>47629</xdr:rowOff>
    </xdr:to>
    <xdr:grpSp>
      <xdr:nvGrpSpPr>
        <xdr:cNvPr id="14" name="Groupe 13"/>
        <xdr:cNvGrpSpPr/>
      </xdr:nvGrpSpPr>
      <xdr:grpSpPr>
        <a:xfrm>
          <a:off x="8749704" y="2339408"/>
          <a:ext cx="2924336" cy="2013521"/>
          <a:chOff x="11645938" y="3047672"/>
          <a:chExt cx="3213743" cy="2195859"/>
        </a:xfrm>
      </xdr:grpSpPr>
      <xdr:pic>
        <xdr:nvPicPr>
          <xdr:cNvPr id="35" name="Image 34"/>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830818" y="3047672"/>
            <a:ext cx="3028863" cy="1972002"/>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6" name="Connecteur droit avec flèche 5"/>
          <xdr:cNvCxnSpPr/>
        </xdr:nvCxnSpPr>
        <xdr:spPr>
          <a:xfrm>
            <a:off x="12331262"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xdr:cNvCxnSpPr/>
        </xdr:nvCxnSpPr>
        <xdr:spPr>
          <a:xfrm>
            <a:off x="12285345" y="4476750"/>
            <a:ext cx="2177415" cy="0"/>
          </a:xfrm>
          <a:prstGeom prst="line">
            <a:avLst/>
          </a:prstGeom>
          <a:ln>
            <a:solidFill>
              <a:srgbClr val="3366FF"/>
            </a:solidFill>
          </a:ln>
        </xdr:spPr>
        <xdr:style>
          <a:lnRef idx="1">
            <a:schemeClr val="accent1"/>
          </a:lnRef>
          <a:fillRef idx="0">
            <a:schemeClr val="accent1"/>
          </a:fillRef>
          <a:effectRef idx="0">
            <a:schemeClr val="accent1"/>
          </a:effectRef>
          <a:fontRef idx="minor">
            <a:schemeClr val="tx1"/>
          </a:fontRef>
        </xdr:style>
      </xdr:cxnSp>
      <xdr:cxnSp macro="">
        <xdr:nvCxnSpPr>
          <xdr:cNvPr id="38" name="Connecteur droit avec flèche 37"/>
          <xdr:cNvCxnSpPr/>
        </xdr:nvCxnSpPr>
        <xdr:spPr>
          <a:xfrm>
            <a:off x="12483662" y="447294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9" name="Connecteur droit avec flèche 38"/>
          <xdr:cNvCxnSpPr/>
        </xdr:nvCxnSpPr>
        <xdr:spPr>
          <a:xfrm>
            <a:off x="12636062"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Connecteur droit avec flèche 39"/>
          <xdr:cNvCxnSpPr/>
        </xdr:nvCxnSpPr>
        <xdr:spPr>
          <a:xfrm>
            <a:off x="12788462"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Connecteur droit avec flèche 40"/>
          <xdr:cNvCxnSpPr/>
        </xdr:nvCxnSpPr>
        <xdr:spPr>
          <a:xfrm>
            <a:off x="12940862"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necteur droit avec flèche 43"/>
          <xdr:cNvCxnSpPr/>
        </xdr:nvCxnSpPr>
        <xdr:spPr>
          <a:xfrm>
            <a:off x="13093262"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Connecteur droit avec flèche 44"/>
          <xdr:cNvCxnSpPr/>
        </xdr:nvCxnSpPr>
        <xdr:spPr>
          <a:xfrm>
            <a:off x="13245662"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Connecteur droit avec flèche 48"/>
          <xdr:cNvCxnSpPr/>
        </xdr:nvCxnSpPr>
        <xdr:spPr>
          <a:xfrm>
            <a:off x="13396157"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Connecteur droit avec flèche 49"/>
          <xdr:cNvCxnSpPr/>
        </xdr:nvCxnSpPr>
        <xdr:spPr>
          <a:xfrm>
            <a:off x="13548557" y="447294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Connecteur droit avec flèche 50"/>
          <xdr:cNvCxnSpPr/>
        </xdr:nvCxnSpPr>
        <xdr:spPr>
          <a:xfrm>
            <a:off x="13700957"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Connecteur droit avec flèche 51"/>
          <xdr:cNvCxnSpPr/>
        </xdr:nvCxnSpPr>
        <xdr:spPr>
          <a:xfrm>
            <a:off x="13853357"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3" name="Connecteur droit avec flèche 52"/>
          <xdr:cNvCxnSpPr/>
        </xdr:nvCxnSpPr>
        <xdr:spPr>
          <a:xfrm>
            <a:off x="14005757"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Connecteur droit avec flèche 53"/>
          <xdr:cNvCxnSpPr/>
        </xdr:nvCxnSpPr>
        <xdr:spPr>
          <a:xfrm>
            <a:off x="14158157"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Connecteur droit avec flèche 55"/>
          <xdr:cNvCxnSpPr/>
        </xdr:nvCxnSpPr>
        <xdr:spPr>
          <a:xfrm>
            <a:off x="14310557"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2" name="Connecteur droit avec flèche 61"/>
          <xdr:cNvCxnSpPr/>
        </xdr:nvCxnSpPr>
        <xdr:spPr>
          <a:xfrm>
            <a:off x="14462957" y="4476750"/>
            <a:ext cx="0" cy="34421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3" name="ZoneTexte 62"/>
          <xdr:cNvSpPr txBox="1"/>
        </xdr:nvSpPr>
        <xdr:spPr bwMode="auto">
          <a:xfrm>
            <a:off x="13244036" y="5014931"/>
            <a:ext cx="324803" cy="228600"/>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a</a:t>
            </a:r>
            <a:endParaRPr lang="fr-FR" sz="1100" b="1" baseline="-25000"/>
          </a:p>
        </xdr:txBody>
      </xdr:sp>
      <xdr:cxnSp macro="">
        <xdr:nvCxnSpPr>
          <xdr:cNvPr id="64" name="Connecteur droit avec flèche 63"/>
          <xdr:cNvCxnSpPr/>
        </xdr:nvCxnSpPr>
        <xdr:spPr bwMode="auto">
          <a:xfrm>
            <a:off x="12239625" y="4960151"/>
            <a:ext cx="2266949" cy="0"/>
          </a:xfrm>
          <a:prstGeom prst="straightConnector1">
            <a:avLst/>
          </a:prstGeom>
          <a:ln w="19050">
            <a:solidFill>
              <a:srgbClr val="FFC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5" name="ZoneTexte 64"/>
          <xdr:cNvSpPr txBox="1"/>
        </xdr:nvSpPr>
        <xdr:spPr bwMode="auto">
          <a:xfrm>
            <a:off x="13580067" y="3130900"/>
            <a:ext cx="400050" cy="228600"/>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F</a:t>
            </a:r>
            <a:r>
              <a:rPr lang="fr-FR" sz="1100" b="1" baseline="-25000"/>
              <a:t>N</a:t>
            </a:r>
          </a:p>
        </xdr:txBody>
      </xdr:sp>
      <xdr:sp macro="" textlink="">
        <xdr:nvSpPr>
          <xdr:cNvPr id="67" name="ZoneTexte 66"/>
          <xdr:cNvSpPr txBox="1"/>
        </xdr:nvSpPr>
        <xdr:spPr bwMode="auto">
          <a:xfrm>
            <a:off x="13073677" y="4208954"/>
            <a:ext cx="521564" cy="228600"/>
          </a:xfrm>
          <a:prstGeom prst="rect">
            <a:avLst/>
          </a:prstGeom>
          <a:solidFill>
            <a:srgbClr val="0B4AFB"/>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P</a:t>
            </a:r>
            <a:r>
              <a:rPr lang="fr-FR" sz="1100" b="1" baseline="-25000"/>
              <a:t>max</a:t>
            </a:r>
          </a:p>
        </xdr:txBody>
      </xdr:sp>
      <xdr:grpSp>
        <xdr:nvGrpSpPr>
          <xdr:cNvPr id="68" name="Groupe 87"/>
          <xdr:cNvGrpSpPr>
            <a:grpSpLocks/>
          </xdr:cNvGrpSpPr>
        </xdr:nvGrpSpPr>
        <xdr:grpSpPr bwMode="auto">
          <a:xfrm>
            <a:off x="11645938" y="3105152"/>
            <a:ext cx="736574" cy="572872"/>
            <a:chOff x="5981239" y="3009666"/>
            <a:chExt cx="1479738" cy="1158796"/>
          </a:xfrm>
        </xdr:grpSpPr>
        <xdr:cxnSp macro="">
          <xdr:nvCxnSpPr>
            <xdr:cNvPr id="69" name="Connecteur droit avec flèche 68"/>
            <xdr:cNvCxnSpPr/>
          </xdr:nvCxnSpPr>
          <xdr:spPr>
            <a:xfrm>
              <a:off x="6096051" y="4014327"/>
              <a:ext cx="669736" cy="1926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Connecteur droit avec flèche 69"/>
            <xdr:cNvCxnSpPr/>
          </xdr:nvCxnSpPr>
          <xdr:spPr>
            <a:xfrm flipV="1">
              <a:off x="6115187" y="3301446"/>
              <a:ext cx="0" cy="712883"/>
            </a:xfrm>
            <a:prstGeom prst="straightConnector1">
              <a:avLst/>
            </a:prstGeom>
            <a:ln w="19050">
              <a:solidFill>
                <a:srgbClr val="3366FF"/>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1" name="ZoneTexte 70"/>
            <xdr:cNvSpPr txBox="1"/>
          </xdr:nvSpPr>
          <xdr:spPr>
            <a:xfrm>
              <a:off x="5981239" y="3031706"/>
              <a:ext cx="248760" cy="269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B4AFB"/>
                  </a:solidFill>
                </a:rPr>
                <a:t>Z</a:t>
              </a:r>
            </a:p>
          </xdr:txBody>
        </xdr:sp>
        <xdr:sp macro="" textlink="">
          <xdr:nvSpPr>
            <xdr:cNvPr id="72" name="ZoneTexte 71"/>
            <xdr:cNvSpPr txBox="1"/>
          </xdr:nvSpPr>
          <xdr:spPr>
            <a:xfrm>
              <a:off x="7231354" y="3009666"/>
              <a:ext cx="229623" cy="269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fr-FR" sz="1200" b="1">
                <a:solidFill>
                  <a:srgbClr val="00B050"/>
                </a:solidFill>
              </a:endParaRPr>
            </a:p>
          </xdr:txBody>
        </xdr:sp>
        <xdr:sp macro="" textlink="">
          <xdr:nvSpPr>
            <xdr:cNvPr id="73" name="ZoneTexte 72"/>
            <xdr:cNvSpPr txBox="1"/>
          </xdr:nvSpPr>
          <xdr:spPr>
            <a:xfrm>
              <a:off x="6784918" y="3898724"/>
              <a:ext cx="248760" cy="269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FF0000"/>
                  </a:solidFill>
                </a:rPr>
                <a:t>X</a:t>
              </a:r>
            </a:p>
          </xdr:txBody>
        </xdr:sp>
      </xdr:grpSp>
    </xdr:grpSp>
    <xdr:clientData/>
  </xdr:twoCellAnchor>
  <xdr:twoCellAnchor>
    <xdr:from>
      <xdr:col>8</xdr:col>
      <xdr:colOff>152400</xdr:colOff>
      <xdr:row>15</xdr:row>
      <xdr:rowOff>142875</xdr:rowOff>
    </xdr:from>
    <xdr:to>
      <xdr:col>11</xdr:col>
      <xdr:colOff>500744</xdr:colOff>
      <xdr:row>27</xdr:row>
      <xdr:rowOff>60579</xdr:rowOff>
    </xdr:to>
    <xdr:grpSp>
      <xdr:nvGrpSpPr>
        <xdr:cNvPr id="2982625" name="Groupe 2982624"/>
        <xdr:cNvGrpSpPr/>
      </xdr:nvGrpSpPr>
      <xdr:grpSpPr>
        <a:xfrm>
          <a:off x="8884920" y="4615815"/>
          <a:ext cx="2748644" cy="1929384"/>
          <a:chOff x="8610600" y="4562475"/>
          <a:chExt cx="2681969" cy="1860804"/>
        </a:xfrm>
      </xdr:grpSpPr>
      <xdr:pic>
        <xdr:nvPicPr>
          <xdr:cNvPr id="85" name="Image 84"/>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0671" r="14176"/>
          <a:stretch/>
        </xdr:blipFill>
        <xdr:spPr bwMode="auto">
          <a:xfrm>
            <a:off x="8811987" y="4605115"/>
            <a:ext cx="2480582" cy="1520822"/>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87" name="Connecteur droit avec flèche 86"/>
          <xdr:cNvCxnSpPr/>
        </xdr:nvCxnSpPr>
        <xdr:spPr>
          <a:xfrm>
            <a:off x="9340940" y="5253125"/>
            <a:ext cx="0" cy="412434"/>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8" name="Connecteur droit avec flèche 87"/>
          <xdr:cNvCxnSpPr/>
        </xdr:nvCxnSpPr>
        <xdr:spPr>
          <a:xfrm>
            <a:off x="9476777" y="5268180"/>
            <a:ext cx="0" cy="604663"/>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9" name="Connecteur droit avec flèche 88"/>
          <xdr:cNvCxnSpPr/>
        </xdr:nvCxnSpPr>
        <xdr:spPr>
          <a:xfrm>
            <a:off x="9612613" y="5279472"/>
            <a:ext cx="0" cy="700867"/>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0" name="Connecteur droit avec flèche 89"/>
          <xdr:cNvCxnSpPr/>
        </xdr:nvCxnSpPr>
        <xdr:spPr>
          <a:xfrm>
            <a:off x="9748450" y="5286999"/>
            <a:ext cx="0" cy="762736"/>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avec flèche 90"/>
          <xdr:cNvCxnSpPr/>
        </xdr:nvCxnSpPr>
        <xdr:spPr>
          <a:xfrm>
            <a:off x="9884287" y="5298290"/>
            <a:ext cx="0" cy="794988"/>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2" name="Connecteur droit avec flèche 91"/>
          <xdr:cNvCxnSpPr/>
        </xdr:nvCxnSpPr>
        <xdr:spPr>
          <a:xfrm>
            <a:off x="10018426" y="5298290"/>
            <a:ext cx="0" cy="805875"/>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3" name="Connecteur droit avec flèche 92"/>
          <xdr:cNvCxnSpPr/>
        </xdr:nvCxnSpPr>
        <xdr:spPr>
          <a:xfrm>
            <a:off x="10151541" y="5302054"/>
            <a:ext cx="0" cy="780338"/>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4" name="Connecteur droit avec flèche 93"/>
          <xdr:cNvCxnSpPr/>
        </xdr:nvCxnSpPr>
        <xdr:spPr>
          <a:xfrm>
            <a:off x="10287378" y="5290763"/>
            <a:ext cx="0" cy="748087"/>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5" name="Connecteur droit avec flèche 94"/>
          <xdr:cNvCxnSpPr/>
        </xdr:nvCxnSpPr>
        <xdr:spPr>
          <a:xfrm>
            <a:off x="10423215" y="5290763"/>
            <a:ext cx="0" cy="673248"/>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6" name="Connecteur droit avec flèche 95"/>
          <xdr:cNvCxnSpPr/>
        </xdr:nvCxnSpPr>
        <xdr:spPr>
          <a:xfrm>
            <a:off x="10559052" y="5268180"/>
            <a:ext cx="0" cy="550233"/>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7" name="Connecteur droit avec flèche 96"/>
          <xdr:cNvCxnSpPr/>
        </xdr:nvCxnSpPr>
        <xdr:spPr>
          <a:xfrm>
            <a:off x="10694888" y="5256889"/>
            <a:ext cx="0" cy="339728"/>
          </a:xfrm>
          <a:prstGeom prst="straightConnector1">
            <a:avLst/>
          </a:prstGeom>
          <a:ln>
            <a:solidFill>
              <a:srgbClr val="3366FF"/>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06" name="Groupe 95"/>
          <xdr:cNvGrpSpPr>
            <a:grpSpLocks/>
          </xdr:cNvGrpSpPr>
        </xdr:nvGrpSpPr>
        <xdr:grpSpPr bwMode="auto">
          <a:xfrm>
            <a:off x="8610600" y="4562475"/>
            <a:ext cx="514350" cy="542925"/>
            <a:chOff x="6532716" y="2570658"/>
            <a:chExt cx="1033264" cy="1112950"/>
          </a:xfrm>
        </xdr:grpSpPr>
        <xdr:cxnSp macro="">
          <xdr:nvCxnSpPr>
            <xdr:cNvPr id="107" name="Connecteur droit avec flèche 106"/>
            <xdr:cNvCxnSpPr/>
          </xdr:nvCxnSpPr>
          <xdr:spPr>
            <a:xfrm>
              <a:off x="6628389" y="3527404"/>
              <a:ext cx="650574"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8" name="Connecteur droit avec flèche 107"/>
            <xdr:cNvCxnSpPr/>
          </xdr:nvCxnSpPr>
          <xdr:spPr>
            <a:xfrm flipV="1">
              <a:off x="6647523" y="2844014"/>
              <a:ext cx="0" cy="683390"/>
            </a:xfrm>
            <a:prstGeom prst="straightConnector1">
              <a:avLst/>
            </a:prstGeom>
            <a:ln w="19050">
              <a:solidFill>
                <a:srgbClr val="3366FF"/>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9" name="ZoneTexte 108"/>
            <xdr:cNvSpPr txBox="1"/>
          </xdr:nvSpPr>
          <xdr:spPr>
            <a:xfrm>
              <a:off x="6532716" y="2570658"/>
              <a:ext cx="248749" cy="27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3366FF"/>
                  </a:solidFill>
                </a:rPr>
                <a:t>Z</a:t>
              </a:r>
            </a:p>
          </xdr:txBody>
        </xdr:sp>
        <xdr:sp macro="" textlink="">
          <xdr:nvSpPr>
            <xdr:cNvPr id="110" name="ZoneTexte 109"/>
            <xdr:cNvSpPr txBox="1"/>
          </xdr:nvSpPr>
          <xdr:spPr>
            <a:xfrm>
              <a:off x="7317231" y="3410252"/>
              <a:ext cx="248749" cy="27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0B050"/>
                  </a:solidFill>
                </a:rPr>
                <a:t>Y</a:t>
              </a:r>
            </a:p>
          </xdr:txBody>
        </xdr:sp>
      </xdr:grpSp>
      <xdr:sp macro="" textlink="">
        <xdr:nvSpPr>
          <xdr:cNvPr id="111" name="ZoneTexte 110"/>
          <xdr:cNvSpPr txBox="1"/>
        </xdr:nvSpPr>
        <xdr:spPr bwMode="auto">
          <a:xfrm>
            <a:off x="10228984" y="6220008"/>
            <a:ext cx="288815" cy="203271"/>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b</a:t>
            </a:r>
            <a:endParaRPr lang="fr-FR" sz="1100" b="1" baseline="-25000"/>
          </a:p>
        </xdr:txBody>
      </xdr:sp>
      <xdr:cxnSp macro="">
        <xdr:nvCxnSpPr>
          <xdr:cNvPr id="112" name="Connecteur droit avec flèche 111"/>
          <xdr:cNvCxnSpPr/>
        </xdr:nvCxnSpPr>
        <xdr:spPr bwMode="auto">
          <a:xfrm>
            <a:off x="10002612" y="6190347"/>
            <a:ext cx="722538" cy="0"/>
          </a:xfrm>
          <a:prstGeom prst="straightConnector1">
            <a:avLst/>
          </a:prstGeom>
          <a:ln w="19050">
            <a:solidFill>
              <a:srgbClr val="FFC000"/>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4" name="Connecteur droit avec flèche 113"/>
          <xdr:cNvCxnSpPr/>
        </xdr:nvCxnSpPr>
        <xdr:spPr bwMode="auto">
          <a:xfrm>
            <a:off x="9135837" y="5352147"/>
            <a:ext cx="0" cy="772428"/>
          </a:xfrm>
          <a:prstGeom prst="straightConnector1">
            <a:avLst/>
          </a:prstGeom>
          <a:ln w="19050">
            <a:solidFill>
              <a:srgbClr val="0B4AFB"/>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5" name="ZoneTexte 114"/>
          <xdr:cNvSpPr txBox="1"/>
        </xdr:nvSpPr>
        <xdr:spPr bwMode="auto">
          <a:xfrm>
            <a:off x="8707212" y="5647422"/>
            <a:ext cx="323850" cy="228600"/>
          </a:xfrm>
          <a:prstGeom prst="rect">
            <a:avLst/>
          </a:prstGeom>
          <a:solidFill>
            <a:srgbClr val="0B4AFB"/>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P</a:t>
            </a:r>
            <a:endParaRPr lang="fr-FR" sz="1100" b="1" baseline="-25000"/>
          </a:p>
        </xdr:txBody>
      </xdr:sp>
    </xdr:grpSp>
    <xdr:clientData/>
  </xdr:twoCellAnchor>
  <xdr:twoCellAnchor>
    <xdr:from>
      <xdr:col>9</xdr:col>
      <xdr:colOff>99060</xdr:colOff>
      <xdr:row>20</xdr:row>
      <xdr:rowOff>11430</xdr:rowOff>
    </xdr:from>
    <xdr:to>
      <xdr:col>9</xdr:col>
      <xdr:colOff>114300</xdr:colOff>
      <xdr:row>20</xdr:row>
      <xdr:rowOff>76200</xdr:rowOff>
    </xdr:to>
    <xdr:cxnSp macro="">
      <xdr:nvCxnSpPr>
        <xdr:cNvPr id="2982627" name="Connecteur droit 2982626"/>
        <xdr:cNvCxnSpPr/>
      </xdr:nvCxnSpPr>
      <xdr:spPr>
        <a:xfrm flipV="1">
          <a:off x="9296400" y="5276850"/>
          <a:ext cx="15240" cy="64770"/>
        </a:xfrm>
        <a:prstGeom prst="line">
          <a:avLst/>
        </a:prstGeom>
        <a:ln w="63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685800</xdr:colOff>
      <xdr:row>20</xdr:row>
      <xdr:rowOff>22860</xdr:rowOff>
    </xdr:from>
    <xdr:to>
      <xdr:col>10</xdr:col>
      <xdr:colOff>701040</xdr:colOff>
      <xdr:row>20</xdr:row>
      <xdr:rowOff>76200</xdr:rowOff>
    </xdr:to>
    <xdr:cxnSp macro="">
      <xdr:nvCxnSpPr>
        <xdr:cNvPr id="121" name="Connecteur droit 120"/>
        <xdr:cNvCxnSpPr/>
      </xdr:nvCxnSpPr>
      <xdr:spPr>
        <a:xfrm flipH="1" flipV="1">
          <a:off x="10740390" y="5288280"/>
          <a:ext cx="15240" cy="53340"/>
        </a:xfrm>
        <a:prstGeom prst="line">
          <a:avLst/>
        </a:prstGeom>
        <a:ln w="63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27</xdr:row>
      <xdr:rowOff>104775</xdr:rowOff>
    </xdr:from>
    <xdr:to>
      <xdr:col>11</xdr:col>
      <xdr:colOff>1334</xdr:colOff>
      <xdr:row>29</xdr:row>
      <xdr:rowOff>48358</xdr:rowOff>
    </xdr:to>
    <xdr:sp macro="" textlink="">
      <xdr:nvSpPr>
        <xdr:cNvPr id="135" name="ZoneTexte 134"/>
        <xdr:cNvSpPr txBox="1"/>
      </xdr:nvSpPr>
      <xdr:spPr>
        <a:xfrm>
          <a:off x="9248775" y="6467475"/>
          <a:ext cx="1544384" cy="26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Aire de contact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2400300</xdr:colOff>
      <xdr:row>3</xdr:row>
      <xdr:rowOff>104775</xdr:rowOff>
    </xdr:from>
    <xdr:to>
      <xdr:col>2</xdr:col>
      <xdr:colOff>314325</xdr:colOff>
      <xdr:row>20</xdr:row>
      <xdr:rowOff>142875</xdr:rowOff>
    </xdr:to>
    <xdr:pic>
      <xdr:nvPicPr>
        <xdr:cNvPr id="3189766"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2275" y="3676650"/>
          <a:ext cx="1343025" cy="279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57150</xdr:rowOff>
    </xdr:from>
    <xdr:to>
      <xdr:col>1</xdr:col>
      <xdr:colOff>0</xdr:colOff>
      <xdr:row>0</xdr:row>
      <xdr:rowOff>552450</xdr:rowOff>
    </xdr:to>
    <xdr:pic>
      <xdr:nvPicPr>
        <xdr:cNvPr id="3189767" name="Picture 296" descr="CNRS-filaire-Quadr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39</xdr:row>
      <xdr:rowOff>114300</xdr:rowOff>
    </xdr:from>
    <xdr:to>
      <xdr:col>3</xdr:col>
      <xdr:colOff>114300</xdr:colOff>
      <xdr:row>61</xdr:row>
      <xdr:rowOff>104775</xdr:rowOff>
    </xdr:to>
    <xdr:graphicFrame macro="">
      <xdr:nvGraphicFramePr>
        <xdr:cNvPr id="318976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209549</xdr:colOff>
      <xdr:row>5</xdr:row>
      <xdr:rowOff>138112</xdr:rowOff>
    </xdr:from>
    <xdr:ext cx="1914525" cy="619785"/>
    <mc:AlternateContent xmlns:mc="http://schemas.openxmlformats.org/markup-compatibility/2006" xmlns:a14="http://schemas.microsoft.com/office/drawing/2010/main">
      <mc:Choice Requires="a14">
        <xdr:sp macro="" textlink="">
          <xdr:nvSpPr>
            <xdr:cNvPr id="5" name="ZoneTexte 4"/>
            <xdr:cNvSpPr txBox="1"/>
          </xdr:nvSpPr>
          <xdr:spPr>
            <a:xfrm>
              <a:off x="3933824" y="3052762"/>
              <a:ext cx="1914525" cy="619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𝑃</m:t>
                    </m:r>
                    <m:r>
                      <a:rPr lang="fr-FR" sz="1100" b="0" i="1">
                        <a:latin typeface="Cambria Math"/>
                      </a:rPr>
                      <m:t>=</m:t>
                    </m:r>
                    <m:f>
                      <m:fPr>
                        <m:ctrlPr>
                          <a:rPr lang="fr-FR" sz="1100" b="0" i="1">
                            <a:latin typeface="Cambria Math" panose="02040503050406030204" pitchFamily="18" charset="0"/>
                          </a:rPr>
                        </m:ctrlPr>
                      </m:fPr>
                      <m:num>
                        <m:sSub>
                          <m:sSubPr>
                            <m:ctrlPr>
                              <a:rPr lang="fr-FR" sz="1100" b="0" i="1">
                                <a:latin typeface="Cambria Math" panose="02040503050406030204" pitchFamily="18" charset="0"/>
                              </a:rPr>
                            </m:ctrlPr>
                          </m:sSubPr>
                          <m:e>
                            <m:r>
                              <a:rPr lang="fr-FR" sz="1100" b="0" i="1">
                                <a:latin typeface="Cambria Math"/>
                              </a:rPr>
                              <m:t>𝐹</m:t>
                            </m:r>
                          </m:e>
                          <m:sub>
                            <m:r>
                              <a:rPr lang="fr-FR" sz="1100" b="0" i="1">
                                <a:latin typeface="Cambria Math"/>
                              </a:rPr>
                              <m:t>𝑁</m:t>
                            </m:r>
                          </m:sub>
                        </m:sSub>
                      </m:num>
                      <m:den>
                        <m:r>
                          <a:rPr lang="fr-FR" sz="1100" b="0" i="1">
                            <a:latin typeface="Cambria Math"/>
                          </a:rPr>
                          <m:t>2</m:t>
                        </m:r>
                        <m:r>
                          <a:rPr lang="fr-FR" sz="1100" b="0" i="1">
                            <a:latin typeface="Cambria Math"/>
                            <a:ea typeface="Cambria Math"/>
                          </a:rPr>
                          <m:t>×</m:t>
                        </m:r>
                        <m:r>
                          <a:rPr lang="fr-FR" sz="1100" b="0" i="1">
                            <a:latin typeface="Cambria Math"/>
                            <a:ea typeface="Cambria Math"/>
                          </a:rPr>
                          <m:t>𝜋</m:t>
                        </m:r>
                        <m:r>
                          <a:rPr lang="fr-FR" sz="1100" b="0" i="1">
                            <a:latin typeface="Cambria Math"/>
                            <a:ea typeface="Cambria Math"/>
                          </a:rPr>
                          <m:t>×</m:t>
                        </m:r>
                        <m:sSup>
                          <m:sSupPr>
                            <m:ctrlPr>
                              <a:rPr lang="fr-FR" sz="1100" b="0" i="1">
                                <a:latin typeface="Cambria Math" panose="02040503050406030204" pitchFamily="18" charset="0"/>
                                <a:ea typeface="Cambria Math"/>
                              </a:rPr>
                            </m:ctrlPr>
                          </m:sSupPr>
                          <m:e>
                            <m:r>
                              <a:rPr lang="fr-FR" sz="1100" b="0" i="1">
                                <a:latin typeface="Cambria Math"/>
                                <a:ea typeface="Cambria Math"/>
                              </a:rPr>
                              <m:t>𝑎</m:t>
                            </m:r>
                          </m:e>
                          <m:sup>
                            <m:r>
                              <a:rPr lang="fr-FR" sz="1100" b="0" i="1">
                                <a:latin typeface="Cambria Math"/>
                                <a:ea typeface="Cambria Math"/>
                              </a:rPr>
                              <m:t>2</m:t>
                            </m:r>
                          </m:sup>
                        </m:sSup>
                        <m:r>
                          <a:rPr lang="fr-FR" sz="1100" b="0" i="1">
                            <a:latin typeface="Cambria Math"/>
                            <a:ea typeface="Cambria Math"/>
                          </a:rPr>
                          <m:t>×</m:t>
                        </m:r>
                        <m:rad>
                          <m:radPr>
                            <m:degHide m:val="on"/>
                            <m:ctrlPr>
                              <a:rPr lang="fr-FR" sz="1100" b="0" i="1">
                                <a:latin typeface="Cambria Math" panose="02040503050406030204" pitchFamily="18" charset="0"/>
                                <a:ea typeface="Cambria Math"/>
                              </a:rPr>
                            </m:ctrlPr>
                          </m:radPr>
                          <m:deg/>
                          <m:e>
                            <m:r>
                              <a:rPr lang="fr-FR" sz="1100" b="0" i="1">
                                <a:latin typeface="Cambria Math"/>
                                <a:ea typeface="Cambria Math"/>
                              </a:rPr>
                              <m:t>1−</m:t>
                            </m:r>
                            <m:f>
                              <m:fPr>
                                <m:ctrlPr>
                                  <a:rPr lang="fr-FR" sz="1100" b="0" i="1">
                                    <a:latin typeface="Cambria Math" panose="02040503050406030204" pitchFamily="18" charset="0"/>
                                    <a:ea typeface="Cambria Math"/>
                                  </a:rPr>
                                </m:ctrlPr>
                              </m:fPr>
                              <m:num>
                                <m:sSup>
                                  <m:sSupPr>
                                    <m:ctrlPr>
                                      <a:rPr lang="fr-FR" sz="1100" b="0" i="1">
                                        <a:latin typeface="Cambria Math" panose="02040503050406030204" pitchFamily="18" charset="0"/>
                                        <a:ea typeface="Cambria Math"/>
                                      </a:rPr>
                                    </m:ctrlPr>
                                  </m:sSupPr>
                                  <m:e>
                                    <m:r>
                                      <a:rPr lang="fr-FR" sz="1100" b="0" i="1">
                                        <a:latin typeface="Cambria Math"/>
                                        <a:ea typeface="Cambria Math"/>
                                      </a:rPr>
                                      <m:t>𝑟</m:t>
                                    </m:r>
                                  </m:e>
                                  <m:sup>
                                    <m:r>
                                      <a:rPr lang="fr-FR" sz="1100" b="0" i="1">
                                        <a:latin typeface="Cambria Math"/>
                                        <a:ea typeface="Cambria Math"/>
                                      </a:rPr>
                                      <m:t>2</m:t>
                                    </m:r>
                                  </m:sup>
                                </m:sSup>
                              </m:num>
                              <m:den>
                                <m:sSup>
                                  <m:sSupPr>
                                    <m:ctrlPr>
                                      <a:rPr lang="fr-FR" sz="1100" b="0" i="1">
                                        <a:latin typeface="Cambria Math" panose="02040503050406030204" pitchFamily="18" charset="0"/>
                                        <a:ea typeface="Cambria Math"/>
                                      </a:rPr>
                                    </m:ctrlPr>
                                  </m:sSupPr>
                                  <m:e>
                                    <m:r>
                                      <a:rPr lang="fr-FR" sz="1100" b="0" i="1">
                                        <a:latin typeface="Cambria Math"/>
                                        <a:ea typeface="Cambria Math"/>
                                      </a:rPr>
                                      <m:t>𝑎</m:t>
                                    </m:r>
                                  </m:e>
                                  <m:sup>
                                    <m:r>
                                      <a:rPr lang="fr-FR" sz="1100" b="0" i="1">
                                        <a:latin typeface="Cambria Math"/>
                                        <a:ea typeface="Cambria Math"/>
                                      </a:rPr>
                                      <m:t>2</m:t>
                                    </m:r>
                                  </m:sup>
                                </m:sSup>
                              </m:den>
                            </m:f>
                          </m:e>
                        </m:rad>
                      </m:den>
                    </m:f>
                  </m:oMath>
                </m:oMathPara>
              </a14:m>
              <a:endParaRPr lang="fr-FR" sz="1100"/>
            </a:p>
          </xdr:txBody>
        </xdr:sp>
      </mc:Choice>
      <mc:Fallback xmlns="">
        <xdr:sp macro="" textlink="">
          <xdr:nvSpPr>
            <xdr:cNvPr id="5" name="ZoneTexte 4"/>
            <xdr:cNvSpPr txBox="1"/>
          </xdr:nvSpPr>
          <xdr:spPr>
            <a:xfrm>
              <a:off x="3933824" y="3052762"/>
              <a:ext cx="1914525" cy="619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latin typeface="Cambria Math"/>
                </a:rPr>
                <a:t>𝑃=𝐹_𝑁/(2</a:t>
              </a:r>
              <a:r>
                <a:rPr lang="fr-FR" sz="1100" b="0" i="0">
                  <a:latin typeface="Cambria Math"/>
                  <a:ea typeface="Cambria Math"/>
                </a:rPr>
                <a:t>×𝜋×𝑎^2×√(1−𝑟^2/𝑎^2 ))</a:t>
              </a:r>
              <a:endParaRPr lang="fr-FR" sz="1100"/>
            </a:p>
          </xdr:txBody>
        </xdr:sp>
      </mc:Fallback>
    </mc:AlternateContent>
    <xdr:clientData/>
  </xdr:oneCellAnchor>
  <xdr:oneCellAnchor>
    <xdr:from>
      <xdr:col>2</xdr:col>
      <xdr:colOff>238124</xdr:colOff>
      <xdr:row>10</xdr:row>
      <xdr:rowOff>109537</xdr:rowOff>
    </xdr:from>
    <xdr:ext cx="1914525" cy="430952"/>
    <mc:AlternateContent xmlns:mc="http://schemas.openxmlformats.org/markup-compatibility/2006" xmlns:a14="http://schemas.microsoft.com/office/drawing/2010/main">
      <mc:Choice Requires="a14">
        <xdr:sp macro="" textlink="">
          <xdr:nvSpPr>
            <xdr:cNvPr id="6" name="ZoneTexte 5"/>
            <xdr:cNvSpPr txBox="1"/>
          </xdr:nvSpPr>
          <xdr:spPr>
            <a:xfrm>
              <a:off x="3962399" y="3833812"/>
              <a:ext cx="1914525" cy="43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sty m:val="p"/>
                      </m:rPr>
                      <a:rPr lang="el-GR" sz="1100" b="0" i="1">
                        <a:latin typeface="Cambria Math"/>
                      </a:rPr>
                      <m:t>δ</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rPr>
                          <m:t>1−</m:t>
                        </m:r>
                        <m:sSup>
                          <m:sSupPr>
                            <m:ctrlPr>
                              <a:rPr lang="fr-FR" sz="1100" b="0" i="1">
                                <a:latin typeface="Cambria Math" panose="02040503050406030204" pitchFamily="18" charset="0"/>
                              </a:rPr>
                            </m:ctrlPr>
                          </m:sSupPr>
                          <m:e>
                            <m:r>
                              <m:rPr>
                                <m:sty m:val="p"/>
                              </m:rPr>
                              <a:rPr lang="el-GR" sz="1100" b="0" i="1">
                                <a:latin typeface="Cambria Math"/>
                              </a:rPr>
                              <m:t>ν</m:t>
                            </m:r>
                          </m:e>
                          <m:sup>
                            <m:r>
                              <a:rPr lang="fr-FR" sz="1100" b="0" i="1">
                                <a:latin typeface="Cambria Math"/>
                              </a:rPr>
                              <m:t>2</m:t>
                            </m:r>
                          </m:sup>
                        </m:sSup>
                      </m:num>
                      <m:den>
                        <m:r>
                          <a:rPr lang="fr-FR" sz="1100" b="0" i="1">
                            <a:latin typeface="Cambria Math"/>
                          </a:rPr>
                          <m:t>2</m:t>
                        </m:r>
                        <m:r>
                          <a:rPr lang="fr-FR" sz="1100" b="0" i="1">
                            <a:latin typeface="Cambria Math"/>
                            <a:ea typeface="Cambria Math"/>
                          </a:rPr>
                          <m:t>×</m:t>
                        </m:r>
                        <m:r>
                          <a:rPr lang="fr-FR" sz="1100" b="0" i="1">
                            <a:latin typeface="Cambria Math"/>
                            <a:ea typeface="Cambria Math"/>
                          </a:rPr>
                          <m:t>𝐸</m:t>
                        </m:r>
                      </m:den>
                    </m:f>
                    <m:r>
                      <a:rPr lang="fr-FR" sz="1100" b="0" i="1">
                        <a:latin typeface="Cambria Math"/>
                        <a:ea typeface="Cambria Math"/>
                      </a:rPr>
                      <m:t>×</m:t>
                    </m:r>
                    <m:f>
                      <m:fPr>
                        <m:ctrlPr>
                          <a:rPr lang="fr-FR" sz="1100" b="0" i="1">
                            <a:latin typeface="Cambria Math" panose="02040503050406030204" pitchFamily="18" charset="0"/>
                            <a:ea typeface="Cambria Math"/>
                          </a:rPr>
                        </m:ctrlPr>
                      </m:fPr>
                      <m:num>
                        <m:sSub>
                          <m:sSubPr>
                            <m:ctrlPr>
                              <a:rPr lang="fr-FR" sz="1100" b="0" i="1">
                                <a:latin typeface="Cambria Math" panose="02040503050406030204" pitchFamily="18" charset="0"/>
                                <a:ea typeface="Cambria Math"/>
                              </a:rPr>
                            </m:ctrlPr>
                          </m:sSubPr>
                          <m:e>
                            <m:r>
                              <a:rPr lang="fr-FR" sz="1100" b="0" i="1">
                                <a:latin typeface="Cambria Math"/>
                                <a:ea typeface="Cambria Math"/>
                              </a:rPr>
                              <m:t>𝐹</m:t>
                            </m:r>
                          </m:e>
                          <m:sub>
                            <m:r>
                              <a:rPr lang="fr-FR" sz="1100" b="0" i="1">
                                <a:latin typeface="Cambria Math"/>
                                <a:ea typeface="Cambria Math"/>
                              </a:rPr>
                              <m:t>𝑁</m:t>
                            </m:r>
                          </m:sub>
                        </m:sSub>
                      </m:num>
                      <m:den>
                        <m:r>
                          <a:rPr lang="fr-FR" sz="1100" b="0" i="1">
                            <a:latin typeface="Cambria Math"/>
                            <a:ea typeface="Cambria Math"/>
                          </a:rPr>
                          <m:t>𝑎</m:t>
                        </m:r>
                      </m:den>
                    </m:f>
                  </m:oMath>
                </m:oMathPara>
              </a14:m>
              <a:endParaRPr lang="fr-FR" sz="1100"/>
            </a:p>
          </xdr:txBody>
        </xdr:sp>
      </mc:Choice>
      <mc:Fallback xmlns="">
        <xdr:sp macro="" textlink="">
          <xdr:nvSpPr>
            <xdr:cNvPr id="6" name="ZoneTexte 5"/>
            <xdr:cNvSpPr txBox="1"/>
          </xdr:nvSpPr>
          <xdr:spPr>
            <a:xfrm>
              <a:off x="3962399" y="3833812"/>
              <a:ext cx="1914525" cy="43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100" b="0" i="0">
                  <a:latin typeface="Cambria Math"/>
                </a:rPr>
                <a:t>δ</a:t>
              </a:r>
              <a:r>
                <a:rPr lang="fr-FR" sz="1100" b="0" i="0">
                  <a:latin typeface="Cambria Math"/>
                </a:rPr>
                <a:t>=(1−</a:t>
              </a:r>
              <a:r>
                <a:rPr lang="el-GR" sz="1100" b="0" i="0">
                  <a:latin typeface="Cambria Math"/>
                </a:rPr>
                <a:t>ν</a:t>
              </a:r>
              <a:r>
                <a:rPr lang="fr-FR" sz="1100" b="0" i="0">
                  <a:latin typeface="Cambria Math"/>
                </a:rPr>
                <a:t>^2)/(2</a:t>
              </a:r>
              <a:r>
                <a:rPr lang="fr-FR" sz="1100" b="0" i="0">
                  <a:latin typeface="Cambria Math"/>
                  <a:ea typeface="Cambria Math"/>
                </a:rPr>
                <a:t>×𝐸)×𝐹_𝑁/𝑎</a:t>
              </a:r>
              <a:endParaRPr lang="fr-FR" sz="1100"/>
            </a:p>
          </xdr:txBody>
        </xdr:sp>
      </mc:Fallback>
    </mc:AlternateContent>
    <xdr:clientData/>
  </xdr:oneCellAnchor>
  <xdr:twoCellAnchor>
    <xdr:from>
      <xdr:col>1</xdr:col>
      <xdr:colOff>1133475</xdr:colOff>
      <xdr:row>16</xdr:row>
      <xdr:rowOff>95250</xdr:rowOff>
    </xdr:from>
    <xdr:to>
      <xdr:col>1</xdr:col>
      <xdr:colOff>2266950</xdr:colOff>
      <xdr:row>19</xdr:row>
      <xdr:rowOff>57150</xdr:rowOff>
    </xdr:to>
    <xdr:sp macro="" textlink="">
      <xdr:nvSpPr>
        <xdr:cNvPr id="4" name="ZoneTexte 3"/>
        <xdr:cNvSpPr txBox="1"/>
      </xdr:nvSpPr>
      <xdr:spPr>
        <a:xfrm>
          <a:off x="1695450" y="5772150"/>
          <a:ext cx="1133475" cy="447675"/>
        </a:xfrm>
        <a:prstGeom prst="rect">
          <a:avLst/>
        </a:prstGeom>
        <a:solidFill>
          <a:srgbClr val="0070C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Massif élastique semi infini E et </a:t>
          </a:r>
          <a:r>
            <a:rPr lang="el-GR" sz="1100" b="1"/>
            <a:t>ν</a:t>
          </a:r>
          <a:endParaRPr lang="fr-FR" sz="1100" b="1"/>
        </a:p>
      </xdr:txBody>
    </xdr:sp>
    <xdr:clientData/>
  </xdr:twoCellAnchor>
  <xdr:twoCellAnchor>
    <xdr:from>
      <xdr:col>1</xdr:col>
      <xdr:colOff>1133475</xdr:colOff>
      <xdr:row>7</xdr:row>
      <xdr:rowOff>142874</xdr:rowOff>
    </xdr:from>
    <xdr:to>
      <xdr:col>1</xdr:col>
      <xdr:colOff>2314575</xdr:colOff>
      <xdr:row>11</xdr:row>
      <xdr:rowOff>114299</xdr:rowOff>
    </xdr:to>
    <xdr:sp macro="" textlink="">
      <xdr:nvSpPr>
        <xdr:cNvPr id="8" name="ZoneTexte 7"/>
        <xdr:cNvSpPr txBox="1"/>
      </xdr:nvSpPr>
      <xdr:spPr>
        <a:xfrm>
          <a:off x="1695450" y="4362449"/>
          <a:ext cx="1181100" cy="61912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Poinçon infiniment rigide de rayon a</a:t>
          </a:r>
        </a:p>
      </xdr:txBody>
    </xdr:sp>
    <xdr:clientData/>
  </xdr:twoCellAnchor>
  <xdr:twoCellAnchor>
    <xdr:from>
      <xdr:col>1</xdr:col>
      <xdr:colOff>1420980</xdr:colOff>
      <xdr:row>4</xdr:row>
      <xdr:rowOff>143912</xdr:rowOff>
    </xdr:from>
    <xdr:to>
      <xdr:col>1</xdr:col>
      <xdr:colOff>2027070</xdr:colOff>
      <xdr:row>6</xdr:row>
      <xdr:rowOff>76200</xdr:rowOff>
    </xdr:to>
    <xdr:sp macro="" textlink="">
      <xdr:nvSpPr>
        <xdr:cNvPr id="11" name="ZoneTexte 10"/>
        <xdr:cNvSpPr txBox="1"/>
      </xdr:nvSpPr>
      <xdr:spPr>
        <a:xfrm>
          <a:off x="1982955" y="3877712"/>
          <a:ext cx="606090" cy="256138"/>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F</a:t>
          </a:r>
          <a:r>
            <a:rPr lang="fr-FR" sz="1100" b="1" baseline="-25000"/>
            <a:t>N</a:t>
          </a:r>
        </a:p>
      </xdr:txBody>
    </xdr:sp>
    <xdr:clientData/>
  </xdr:twoCellAnchor>
  <xdr:twoCellAnchor>
    <xdr:from>
      <xdr:col>1</xdr:col>
      <xdr:colOff>2855898</xdr:colOff>
      <xdr:row>13</xdr:row>
      <xdr:rowOff>104775</xdr:rowOff>
    </xdr:from>
    <xdr:to>
      <xdr:col>1</xdr:col>
      <xdr:colOff>3114675</xdr:colOff>
      <xdr:row>15</xdr:row>
      <xdr:rowOff>20829</xdr:rowOff>
    </xdr:to>
    <xdr:sp macro="" textlink="">
      <xdr:nvSpPr>
        <xdr:cNvPr id="12" name="ZoneTexte 11"/>
        <xdr:cNvSpPr txBox="1"/>
      </xdr:nvSpPr>
      <xdr:spPr>
        <a:xfrm>
          <a:off x="3417873" y="5295900"/>
          <a:ext cx="258777" cy="23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t>O</a:t>
          </a:r>
        </a:p>
      </xdr:txBody>
    </xdr:sp>
    <xdr:clientData/>
  </xdr:twoCellAnchor>
  <xdr:twoCellAnchor>
    <xdr:from>
      <xdr:col>1</xdr:col>
      <xdr:colOff>2495550</xdr:colOff>
      <xdr:row>20</xdr:row>
      <xdr:rowOff>133350</xdr:rowOff>
    </xdr:from>
    <xdr:to>
      <xdr:col>2</xdr:col>
      <xdr:colOff>190500</xdr:colOff>
      <xdr:row>22</xdr:row>
      <xdr:rowOff>76200</xdr:rowOff>
    </xdr:to>
    <xdr:sp macro="" textlink="">
      <xdr:nvSpPr>
        <xdr:cNvPr id="13" name="ZoneTexte 12"/>
        <xdr:cNvSpPr txBox="1"/>
      </xdr:nvSpPr>
      <xdr:spPr>
        <a:xfrm>
          <a:off x="3057525" y="6457950"/>
          <a:ext cx="11239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Vue en coupe</a:t>
          </a:r>
        </a:p>
      </xdr:txBody>
    </xdr:sp>
    <xdr:clientData/>
  </xdr:twoCellAnchor>
  <xdr:twoCellAnchor editAs="oneCell">
    <xdr:from>
      <xdr:col>0</xdr:col>
      <xdr:colOff>104775</xdr:colOff>
      <xdr:row>3</xdr:row>
      <xdr:rowOff>123825</xdr:rowOff>
    </xdr:from>
    <xdr:to>
      <xdr:col>1</xdr:col>
      <xdr:colOff>1057275</xdr:colOff>
      <xdr:row>21</xdr:row>
      <xdr:rowOff>19050</xdr:rowOff>
    </xdr:to>
    <xdr:pic>
      <xdr:nvPicPr>
        <xdr:cNvPr id="3189776" name="Imag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775" y="3695700"/>
          <a:ext cx="151447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2628900</xdr:colOff>
      <xdr:row>10</xdr:row>
      <xdr:rowOff>38100</xdr:rowOff>
    </xdr:from>
    <xdr:to>
      <xdr:col>1</xdr:col>
      <xdr:colOff>3400425</xdr:colOff>
      <xdr:row>15</xdr:row>
      <xdr:rowOff>104775</xdr:rowOff>
    </xdr:to>
    <xdr:grpSp>
      <xdr:nvGrpSpPr>
        <xdr:cNvPr id="3189777" name="Groupe 18"/>
        <xdr:cNvGrpSpPr>
          <a:grpSpLocks/>
        </xdr:cNvGrpSpPr>
      </xdr:nvGrpSpPr>
      <xdr:grpSpPr bwMode="auto">
        <a:xfrm>
          <a:off x="3208020" y="4785360"/>
          <a:ext cx="771525" cy="904875"/>
          <a:chOff x="6018122" y="2391480"/>
          <a:chExt cx="1553167" cy="1798060"/>
        </a:xfrm>
      </xdr:grpSpPr>
      <xdr:cxnSp macro="">
        <xdr:nvCxnSpPr>
          <xdr:cNvPr id="16" name="Connecteur droit avec flèche 15"/>
          <xdr:cNvCxnSpPr/>
        </xdr:nvCxnSpPr>
        <xdr:spPr>
          <a:xfrm>
            <a:off x="6670069" y="3525040"/>
            <a:ext cx="671122" cy="97721"/>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avec flèche 16"/>
          <xdr:cNvCxnSpPr/>
        </xdr:nvCxnSpPr>
        <xdr:spPr>
          <a:xfrm flipH="1" flipV="1">
            <a:off x="6670069" y="2665098"/>
            <a:ext cx="0" cy="859942"/>
          </a:xfrm>
          <a:prstGeom prst="straightConnector1">
            <a:avLst/>
          </a:prstGeom>
          <a:ln w="19050">
            <a:solidFill>
              <a:srgbClr val="3366FF"/>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Connecteur droit avec flèche 17"/>
          <xdr:cNvCxnSpPr/>
        </xdr:nvCxnSpPr>
        <xdr:spPr>
          <a:xfrm flipH="1">
            <a:off x="6248221" y="3564128"/>
            <a:ext cx="402673" cy="39088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ZoneTexte 18"/>
          <xdr:cNvSpPr txBox="1"/>
        </xdr:nvSpPr>
        <xdr:spPr>
          <a:xfrm>
            <a:off x="6018122" y="3915922"/>
            <a:ext cx="249274" cy="273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FF0000"/>
                </a:solidFill>
              </a:rPr>
              <a:t>X</a:t>
            </a:r>
          </a:p>
        </xdr:txBody>
      </xdr:sp>
      <xdr:sp macro="" textlink="">
        <xdr:nvSpPr>
          <xdr:cNvPr id="20" name="ZoneTexte 19"/>
          <xdr:cNvSpPr txBox="1"/>
        </xdr:nvSpPr>
        <xdr:spPr>
          <a:xfrm>
            <a:off x="6535844" y="2391480"/>
            <a:ext cx="249274" cy="273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3366FF"/>
                </a:solidFill>
              </a:rPr>
              <a:t>Z</a:t>
            </a:r>
          </a:p>
        </xdr:txBody>
      </xdr:sp>
      <xdr:sp macro="" textlink="">
        <xdr:nvSpPr>
          <xdr:cNvPr id="21" name="ZoneTexte 20"/>
          <xdr:cNvSpPr txBox="1"/>
        </xdr:nvSpPr>
        <xdr:spPr>
          <a:xfrm>
            <a:off x="7322015" y="3505495"/>
            <a:ext cx="249274" cy="273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0B050"/>
                </a:solidFill>
              </a:rPr>
              <a:t>Y</a:t>
            </a:r>
          </a:p>
        </xdr:txBody>
      </xdr:sp>
    </xdr:grpSp>
    <xdr:clientData/>
  </xdr:twoCellAnchor>
  <xdr:twoCellAnchor editAs="oneCell">
    <xdr:from>
      <xdr:col>0</xdr:col>
      <xdr:colOff>28575</xdr:colOff>
      <xdr:row>63</xdr:row>
      <xdr:rowOff>19050</xdr:rowOff>
    </xdr:from>
    <xdr:to>
      <xdr:col>1</xdr:col>
      <xdr:colOff>714375</xdr:colOff>
      <xdr:row>65</xdr:row>
      <xdr:rowOff>133350</xdr:rowOff>
    </xdr:to>
    <xdr:pic>
      <xdr:nvPicPr>
        <xdr:cNvPr id="3189778" name="Image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575" y="13477875"/>
          <a:ext cx="1247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504825</xdr:colOff>
      <xdr:row>1</xdr:row>
      <xdr:rowOff>104775</xdr:rowOff>
    </xdr:to>
    <xdr:pic>
      <xdr:nvPicPr>
        <xdr:cNvPr id="1197519" name="Picture 2" descr="CNRS-filaire-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47</xdr:row>
      <xdr:rowOff>19050</xdr:rowOff>
    </xdr:from>
    <xdr:to>
      <xdr:col>1</xdr:col>
      <xdr:colOff>514350</xdr:colOff>
      <xdr:row>49</xdr:row>
      <xdr:rowOff>133350</xdr:rowOff>
    </xdr:to>
    <xdr:pic>
      <xdr:nvPicPr>
        <xdr:cNvPr id="1197520"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7867650"/>
          <a:ext cx="1247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504825</xdr:colOff>
      <xdr:row>1</xdr:row>
      <xdr:rowOff>104775</xdr:rowOff>
    </xdr:to>
    <xdr:pic>
      <xdr:nvPicPr>
        <xdr:cNvPr id="1198543" name="Picture 26" descr="CNRS-filaire-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53</xdr:row>
      <xdr:rowOff>19050</xdr:rowOff>
    </xdr:from>
    <xdr:to>
      <xdr:col>1</xdr:col>
      <xdr:colOff>514350</xdr:colOff>
      <xdr:row>55</xdr:row>
      <xdr:rowOff>133350</xdr:rowOff>
    </xdr:to>
    <xdr:pic>
      <xdr:nvPicPr>
        <xdr:cNvPr id="119854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9086850"/>
          <a:ext cx="1247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6"/>
  <sheetViews>
    <sheetView showGridLines="0" zoomScaleNormal="100" workbookViewId="0">
      <selection activeCell="N1" sqref="N1"/>
    </sheetView>
  </sheetViews>
  <sheetFormatPr baseColWidth="10" defaultRowHeight="13.2" x14ac:dyDescent="0.25"/>
  <cols>
    <col min="1" max="1" width="7.33203125" customWidth="1"/>
    <col min="5" max="5" width="12.6640625" customWidth="1"/>
  </cols>
  <sheetData>
    <row r="1" spans="1:13" x14ac:dyDescent="0.25">
      <c r="A1" s="136"/>
      <c r="B1" s="137"/>
      <c r="C1" s="137"/>
      <c r="D1" s="137"/>
      <c r="E1" s="137"/>
      <c r="F1" s="137"/>
      <c r="G1" s="137"/>
      <c r="H1" s="137"/>
      <c r="I1" s="137"/>
      <c r="J1" s="137"/>
      <c r="K1" s="137"/>
      <c r="L1" s="137"/>
      <c r="M1" s="10"/>
    </row>
    <row r="2" spans="1:13" ht="30" x14ac:dyDescent="0.7">
      <c r="A2" s="145" t="s">
        <v>99</v>
      </c>
      <c r="B2" s="146"/>
      <c r="C2" s="146"/>
      <c r="D2" s="146"/>
      <c r="E2" s="146"/>
      <c r="F2" s="146"/>
      <c r="G2" s="146"/>
      <c r="H2" s="146"/>
      <c r="I2" s="146"/>
      <c r="J2" s="146"/>
      <c r="K2" s="146"/>
      <c r="L2" s="146"/>
      <c r="M2" s="147"/>
    </row>
    <row r="3" spans="1:13" ht="30" x14ac:dyDescent="0.7">
      <c r="A3" s="138"/>
      <c r="B3" s="133"/>
      <c r="C3" s="133"/>
      <c r="D3" s="133"/>
      <c r="E3" s="133"/>
      <c r="F3" s="133"/>
      <c r="G3" s="133"/>
      <c r="H3" s="133"/>
      <c r="I3" s="133"/>
      <c r="J3" s="133"/>
      <c r="K3" s="133"/>
      <c r="L3" s="133"/>
      <c r="M3" s="139"/>
    </row>
    <row r="4" spans="1:13" ht="21" x14ac:dyDescent="0.4">
      <c r="A4" s="15"/>
      <c r="B4" s="142" t="s">
        <v>104</v>
      </c>
      <c r="C4" s="16"/>
      <c r="D4" s="16"/>
      <c r="E4" s="16"/>
      <c r="F4" s="16"/>
      <c r="G4" s="16"/>
      <c r="H4" s="16"/>
      <c r="I4" s="16"/>
      <c r="J4" s="16"/>
      <c r="K4" s="16"/>
      <c r="L4" s="16"/>
      <c r="M4" s="1"/>
    </row>
    <row r="5" spans="1:13" x14ac:dyDescent="0.25">
      <c r="A5" s="15"/>
      <c r="B5" s="16"/>
      <c r="C5" s="16"/>
      <c r="D5" s="16"/>
      <c r="E5" s="16"/>
      <c r="F5" s="16"/>
      <c r="G5" s="16"/>
      <c r="H5" s="16"/>
      <c r="I5" s="16"/>
      <c r="J5" s="16"/>
      <c r="K5" s="16"/>
      <c r="L5" s="16"/>
      <c r="M5" s="1"/>
    </row>
    <row r="6" spans="1:13" x14ac:dyDescent="0.25">
      <c r="A6" s="15"/>
      <c r="B6" s="143" t="s">
        <v>106</v>
      </c>
      <c r="C6" s="16"/>
      <c r="D6" s="16"/>
      <c r="E6" s="16"/>
      <c r="F6" s="16"/>
      <c r="G6" s="16"/>
      <c r="H6" s="16"/>
      <c r="I6" s="16"/>
      <c r="J6" s="16"/>
      <c r="K6" s="16"/>
      <c r="L6" s="16"/>
      <c r="M6" s="1"/>
    </row>
    <row r="7" spans="1:13" x14ac:dyDescent="0.25">
      <c r="A7" s="15"/>
      <c r="B7" s="143" t="s">
        <v>107</v>
      </c>
      <c r="C7" s="16"/>
      <c r="D7" s="16"/>
      <c r="E7" s="16"/>
      <c r="F7" s="16"/>
      <c r="G7" s="16"/>
      <c r="H7" s="16"/>
      <c r="I7" s="16"/>
      <c r="J7" s="16"/>
      <c r="K7" s="16"/>
      <c r="L7" s="16"/>
      <c r="M7" s="1"/>
    </row>
    <row r="8" spans="1:13" x14ac:dyDescent="0.25">
      <c r="A8" s="15"/>
      <c r="B8" s="144" t="s">
        <v>112</v>
      </c>
      <c r="C8" s="16"/>
      <c r="D8" s="16"/>
      <c r="E8" s="16"/>
      <c r="F8" s="16"/>
      <c r="G8" s="16"/>
      <c r="H8" s="16"/>
      <c r="I8" s="16"/>
      <c r="J8" s="16"/>
      <c r="K8" s="16"/>
      <c r="L8" s="16"/>
      <c r="M8" s="1"/>
    </row>
    <row r="9" spans="1:13" x14ac:dyDescent="0.25">
      <c r="A9" s="15"/>
      <c r="B9" s="144"/>
      <c r="C9" s="16"/>
      <c r="D9" s="16"/>
      <c r="E9" s="16"/>
      <c r="F9" s="16"/>
      <c r="G9" s="16"/>
      <c r="H9" s="16"/>
      <c r="I9" s="16"/>
      <c r="J9" s="16"/>
      <c r="K9" s="16"/>
      <c r="L9" s="16"/>
      <c r="M9" s="1"/>
    </row>
    <row r="10" spans="1:13" x14ac:dyDescent="0.25">
      <c r="A10" s="15"/>
      <c r="B10" s="143" t="s">
        <v>108</v>
      </c>
      <c r="C10" s="16"/>
      <c r="D10" s="16"/>
      <c r="E10" s="16"/>
      <c r="F10" s="16"/>
      <c r="G10" s="16"/>
      <c r="H10" s="16"/>
      <c r="I10" s="16"/>
      <c r="J10" s="16"/>
      <c r="K10" s="16"/>
      <c r="L10" s="16"/>
      <c r="M10" s="1"/>
    </row>
    <row r="11" spans="1:13" x14ac:dyDescent="0.25">
      <c r="A11" s="15"/>
      <c r="B11" s="143"/>
      <c r="C11" s="16"/>
      <c r="D11" s="16"/>
      <c r="E11" s="16"/>
      <c r="F11" s="16"/>
      <c r="G11" s="16"/>
      <c r="H11" s="16"/>
      <c r="I11" s="16"/>
      <c r="J11" s="16"/>
      <c r="K11" s="16"/>
      <c r="L11" s="16"/>
      <c r="M11" s="1"/>
    </row>
    <row r="12" spans="1:13" x14ac:dyDescent="0.25">
      <c r="A12" s="15"/>
      <c r="B12" s="143" t="s">
        <v>109</v>
      </c>
      <c r="C12" s="16"/>
      <c r="D12" s="16"/>
      <c r="E12" s="16"/>
      <c r="F12" s="16"/>
      <c r="G12" s="16"/>
      <c r="H12" s="16"/>
      <c r="I12" s="16"/>
      <c r="J12" s="16"/>
      <c r="K12" s="16"/>
      <c r="L12" s="16"/>
      <c r="M12" s="1"/>
    </row>
    <row r="13" spans="1:13" x14ac:dyDescent="0.25">
      <c r="A13" s="15"/>
      <c r="B13" s="143" t="s">
        <v>110</v>
      </c>
      <c r="C13" s="16"/>
      <c r="D13" s="16"/>
      <c r="E13" s="16"/>
      <c r="F13" s="16"/>
      <c r="G13" s="16"/>
      <c r="H13" s="16"/>
      <c r="I13" s="16"/>
      <c r="J13" s="16"/>
      <c r="K13" s="16"/>
      <c r="L13" s="16"/>
      <c r="M13" s="1"/>
    </row>
    <row r="14" spans="1:13" x14ac:dyDescent="0.25">
      <c r="A14" s="15"/>
      <c r="B14" s="143"/>
      <c r="C14" s="16"/>
      <c r="D14" s="16"/>
      <c r="E14" s="16"/>
      <c r="F14" s="16"/>
      <c r="G14" s="16"/>
      <c r="H14" s="16"/>
      <c r="I14" s="16"/>
      <c r="J14" s="16"/>
      <c r="K14" s="16"/>
      <c r="L14" s="16"/>
      <c r="M14" s="1"/>
    </row>
    <row r="15" spans="1:13" x14ac:dyDescent="0.25">
      <c r="A15" s="15"/>
      <c r="B15" s="144" t="s">
        <v>116</v>
      </c>
      <c r="C15" s="16"/>
      <c r="D15" s="16"/>
      <c r="E15" s="16"/>
      <c r="F15" s="16"/>
      <c r="G15" s="16"/>
      <c r="H15" s="16"/>
      <c r="I15" s="16"/>
      <c r="J15" s="16"/>
      <c r="K15" s="16"/>
      <c r="L15" s="16"/>
      <c r="M15" s="1"/>
    </row>
    <row r="16" spans="1:13" x14ac:dyDescent="0.25">
      <c r="A16" s="15"/>
      <c r="B16" s="144" t="s">
        <v>115</v>
      </c>
      <c r="C16" s="16"/>
      <c r="D16" s="16"/>
      <c r="E16" s="16"/>
      <c r="F16" s="16"/>
      <c r="G16" s="16"/>
      <c r="H16" s="16"/>
      <c r="I16" s="16"/>
      <c r="J16" s="16"/>
      <c r="K16" s="16"/>
      <c r="L16" s="16"/>
      <c r="M16" s="1"/>
    </row>
    <row r="17" spans="1:13" x14ac:dyDescent="0.25">
      <c r="A17" s="15"/>
      <c r="B17" s="144" t="s">
        <v>117</v>
      </c>
      <c r="C17" s="16"/>
      <c r="D17" s="16"/>
      <c r="E17" s="16"/>
      <c r="F17" s="16"/>
      <c r="G17" s="16"/>
      <c r="H17" s="16"/>
      <c r="I17" s="16"/>
      <c r="J17" s="16"/>
      <c r="K17" s="16"/>
      <c r="L17" s="16"/>
      <c r="M17" s="1"/>
    </row>
    <row r="18" spans="1:13" x14ac:dyDescent="0.25">
      <c r="A18" s="15"/>
      <c r="B18" s="144"/>
      <c r="C18" s="16"/>
      <c r="D18" s="16"/>
      <c r="E18" s="16"/>
      <c r="F18" s="16"/>
      <c r="G18" s="16"/>
      <c r="H18" s="16"/>
      <c r="I18" s="16"/>
      <c r="J18" s="16"/>
      <c r="K18" s="16"/>
      <c r="L18" s="16"/>
      <c r="M18" s="1"/>
    </row>
    <row r="19" spans="1:13" x14ac:dyDescent="0.25">
      <c r="A19" s="15"/>
      <c r="B19" s="16"/>
      <c r="C19" s="16"/>
      <c r="D19" s="16"/>
      <c r="E19" s="16"/>
      <c r="F19" s="16"/>
      <c r="G19" s="16"/>
      <c r="H19" s="16"/>
      <c r="I19" s="16"/>
      <c r="J19" s="16"/>
      <c r="K19" s="16"/>
      <c r="L19" s="16"/>
      <c r="M19" s="1"/>
    </row>
    <row r="20" spans="1:13" x14ac:dyDescent="0.25">
      <c r="A20" s="15"/>
      <c r="B20" s="16"/>
      <c r="C20" s="16"/>
      <c r="D20" s="16"/>
      <c r="E20" s="16"/>
      <c r="F20" s="16"/>
      <c r="G20" s="16"/>
      <c r="H20" s="16"/>
      <c r="I20" s="16"/>
      <c r="J20" s="16"/>
      <c r="K20" s="16"/>
      <c r="L20" s="16"/>
      <c r="M20" s="1"/>
    </row>
    <row r="21" spans="1:13" ht="20.399999999999999" x14ac:dyDescent="0.35">
      <c r="A21" s="15"/>
      <c r="B21" s="16"/>
      <c r="C21" s="135" t="s">
        <v>100</v>
      </c>
      <c r="D21" s="16"/>
      <c r="E21" s="16"/>
      <c r="F21" s="134" t="s">
        <v>101</v>
      </c>
      <c r="G21" s="16"/>
      <c r="H21" s="16"/>
      <c r="I21" s="16"/>
      <c r="J21" s="134" t="s">
        <v>102</v>
      </c>
      <c r="K21" s="16"/>
      <c r="L21" s="16"/>
      <c r="M21" s="1"/>
    </row>
    <row r="22" spans="1:13" x14ac:dyDescent="0.25">
      <c r="A22" s="15"/>
      <c r="B22" s="16"/>
      <c r="C22" s="16"/>
      <c r="D22" s="16"/>
      <c r="E22" s="16"/>
      <c r="F22" s="16"/>
      <c r="G22" s="16"/>
      <c r="H22" s="16"/>
      <c r="I22" s="16"/>
      <c r="J22" s="16"/>
      <c r="K22" s="16"/>
      <c r="L22" s="16"/>
      <c r="M22" s="1"/>
    </row>
    <row r="23" spans="1:13" x14ac:dyDescent="0.25">
      <c r="A23" s="15"/>
      <c r="B23" s="16"/>
      <c r="C23" s="16"/>
      <c r="D23" s="16"/>
      <c r="E23" s="16"/>
      <c r="F23" s="16"/>
      <c r="G23" s="16"/>
      <c r="H23" s="16"/>
      <c r="I23" s="16"/>
      <c r="J23" s="16"/>
      <c r="K23" s="16"/>
      <c r="L23" s="16"/>
      <c r="M23" s="1"/>
    </row>
    <row r="24" spans="1:13" x14ac:dyDescent="0.25">
      <c r="A24" s="15"/>
      <c r="B24" s="16"/>
      <c r="C24" s="16"/>
      <c r="D24" s="16"/>
      <c r="E24" s="16"/>
      <c r="F24" s="16"/>
      <c r="G24" s="16"/>
      <c r="H24" s="16"/>
      <c r="I24" s="16"/>
      <c r="J24" s="16"/>
      <c r="K24" s="16"/>
      <c r="L24" s="16"/>
      <c r="M24" s="1"/>
    </row>
    <row r="25" spans="1:13" x14ac:dyDescent="0.25">
      <c r="A25" s="15"/>
      <c r="B25" s="16"/>
      <c r="C25" s="16"/>
      <c r="D25" s="16"/>
      <c r="E25" s="16"/>
      <c r="F25" s="16"/>
      <c r="G25" s="16"/>
      <c r="H25" s="16"/>
      <c r="I25" s="16"/>
      <c r="J25" s="16"/>
      <c r="K25" s="16"/>
      <c r="L25" s="16"/>
      <c r="M25" s="1"/>
    </row>
    <row r="26" spans="1:13" x14ac:dyDescent="0.25">
      <c r="A26" s="15"/>
      <c r="B26" s="16"/>
      <c r="C26" s="16"/>
      <c r="D26" s="16"/>
      <c r="E26" s="16"/>
      <c r="F26" s="16"/>
      <c r="G26" s="16"/>
      <c r="H26" s="16"/>
      <c r="I26" s="16"/>
      <c r="J26" s="16"/>
      <c r="K26" s="16"/>
      <c r="L26" s="16"/>
      <c r="M26" s="1"/>
    </row>
    <row r="27" spans="1:13" x14ac:dyDescent="0.25">
      <c r="A27" s="15"/>
      <c r="B27" s="16"/>
      <c r="C27" s="16"/>
      <c r="D27" s="16"/>
      <c r="E27" s="16"/>
      <c r="F27" s="16"/>
      <c r="G27" s="16"/>
      <c r="H27" s="16"/>
      <c r="I27" s="16"/>
      <c r="J27" s="16"/>
      <c r="K27" s="16"/>
      <c r="L27" s="16"/>
      <c r="M27" s="1"/>
    </row>
    <row r="28" spans="1:13" x14ac:dyDescent="0.25">
      <c r="A28" s="15"/>
      <c r="B28" s="16"/>
      <c r="C28" s="16"/>
      <c r="D28" s="16"/>
      <c r="E28" s="16"/>
      <c r="F28" s="16"/>
      <c r="G28" s="16"/>
      <c r="H28" s="16"/>
      <c r="I28" s="16"/>
      <c r="J28" s="16"/>
      <c r="K28" s="16"/>
      <c r="L28" s="16"/>
      <c r="M28" s="1"/>
    </row>
    <row r="29" spans="1:13" x14ac:dyDescent="0.25">
      <c r="A29" s="15"/>
      <c r="B29" s="16"/>
      <c r="C29" s="16"/>
      <c r="D29" s="16"/>
      <c r="E29" s="16"/>
      <c r="F29" s="16"/>
      <c r="G29" s="16"/>
      <c r="H29" s="16"/>
      <c r="I29" s="16"/>
      <c r="J29" s="16"/>
      <c r="K29" s="16"/>
      <c r="L29" s="16"/>
      <c r="M29" s="1"/>
    </row>
    <row r="30" spans="1:13" x14ac:dyDescent="0.25">
      <c r="A30" s="15"/>
      <c r="B30" s="16"/>
      <c r="C30" s="16"/>
      <c r="D30" s="16"/>
      <c r="E30" s="16"/>
      <c r="F30" s="16"/>
      <c r="G30" s="16"/>
      <c r="H30" s="16"/>
      <c r="I30" s="16"/>
      <c r="J30" s="16"/>
      <c r="K30" s="16"/>
      <c r="L30" s="16"/>
      <c r="M30" s="1"/>
    </row>
    <row r="31" spans="1:13" x14ac:dyDescent="0.25">
      <c r="A31" s="15"/>
      <c r="B31" s="16"/>
      <c r="C31" s="16"/>
      <c r="D31" s="16"/>
      <c r="E31" s="16"/>
      <c r="F31" s="16"/>
      <c r="G31" s="16"/>
      <c r="H31" s="16"/>
      <c r="I31" s="16"/>
      <c r="J31" s="16"/>
      <c r="K31" s="16"/>
      <c r="L31" s="16"/>
      <c r="M31" s="1"/>
    </row>
    <row r="32" spans="1:13" x14ac:dyDescent="0.25">
      <c r="A32" s="15"/>
      <c r="B32" s="16"/>
      <c r="C32" s="16"/>
      <c r="D32" s="16"/>
      <c r="E32" s="16"/>
      <c r="F32" s="16"/>
      <c r="G32" s="16"/>
      <c r="H32" s="16"/>
      <c r="I32" s="16"/>
      <c r="J32" s="16"/>
      <c r="K32" s="16"/>
      <c r="L32" s="16"/>
      <c r="M32" s="1"/>
    </row>
    <row r="33" spans="1:13" x14ac:dyDescent="0.25">
      <c r="A33" s="15"/>
      <c r="B33" s="16"/>
      <c r="C33" s="16"/>
      <c r="D33" s="16"/>
      <c r="E33" s="16"/>
      <c r="F33" s="16"/>
      <c r="G33" s="16"/>
      <c r="H33" s="16"/>
      <c r="I33" s="16"/>
      <c r="J33" s="16"/>
      <c r="K33" s="16"/>
      <c r="L33" s="16"/>
      <c r="M33" s="1"/>
    </row>
    <row r="34" spans="1:13" x14ac:dyDescent="0.25">
      <c r="A34" s="15"/>
      <c r="B34" s="16"/>
      <c r="C34" s="16"/>
      <c r="D34" s="16"/>
      <c r="E34" s="16"/>
      <c r="F34" s="16"/>
      <c r="G34" s="16"/>
      <c r="H34" s="16"/>
      <c r="I34" s="16"/>
      <c r="J34" s="16"/>
      <c r="K34" s="16"/>
      <c r="L34" s="16"/>
      <c r="M34" s="1"/>
    </row>
    <row r="35" spans="1:13" x14ac:dyDescent="0.25">
      <c r="A35" s="15"/>
      <c r="B35" s="16"/>
      <c r="C35" s="16"/>
      <c r="D35" s="16"/>
      <c r="E35" s="16"/>
      <c r="F35" s="16"/>
      <c r="G35" s="16"/>
      <c r="H35" s="16"/>
      <c r="I35" s="16"/>
      <c r="J35" s="16"/>
      <c r="K35" s="16"/>
      <c r="L35" s="16"/>
      <c r="M35" s="1"/>
    </row>
    <row r="36" spans="1:13" x14ac:dyDescent="0.25">
      <c r="A36" s="15"/>
      <c r="B36" s="16"/>
      <c r="C36" s="16"/>
      <c r="D36" s="16"/>
      <c r="E36" s="16"/>
      <c r="F36" s="16"/>
      <c r="G36" s="16"/>
      <c r="H36" s="16"/>
      <c r="I36" s="16"/>
      <c r="J36" s="16"/>
      <c r="K36" s="16"/>
      <c r="L36" s="16"/>
      <c r="M36" s="1"/>
    </row>
    <row r="37" spans="1:13" x14ac:dyDescent="0.25">
      <c r="A37" s="15"/>
      <c r="B37" s="16"/>
      <c r="C37" s="16"/>
      <c r="D37" s="16"/>
      <c r="E37" s="16"/>
      <c r="F37" s="16"/>
      <c r="G37" s="16"/>
      <c r="H37" s="16"/>
      <c r="I37" s="16"/>
      <c r="J37" s="16"/>
      <c r="K37" s="16"/>
      <c r="L37" s="16"/>
      <c r="M37" s="1"/>
    </row>
    <row r="38" spans="1:13" x14ac:dyDescent="0.25">
      <c r="A38" s="15"/>
      <c r="B38" s="16"/>
      <c r="C38" s="16"/>
      <c r="D38" s="16"/>
      <c r="E38" s="16"/>
      <c r="F38" s="16"/>
      <c r="G38" s="16"/>
      <c r="H38" s="16"/>
      <c r="I38" s="16"/>
      <c r="J38" s="16"/>
      <c r="K38" s="16"/>
      <c r="L38" s="16"/>
      <c r="M38" s="1"/>
    </row>
    <row r="39" spans="1:13" x14ac:dyDescent="0.25">
      <c r="A39" s="15"/>
      <c r="B39" s="16"/>
      <c r="C39" s="16"/>
      <c r="D39" s="16"/>
      <c r="E39" s="16"/>
      <c r="F39" s="16"/>
      <c r="G39" s="16"/>
      <c r="H39" s="16"/>
      <c r="I39" s="16"/>
      <c r="J39" s="16"/>
      <c r="K39" s="16"/>
      <c r="L39" s="16"/>
      <c r="M39" s="1"/>
    </row>
    <row r="40" spans="1:13" x14ac:dyDescent="0.25">
      <c r="A40" s="15"/>
      <c r="B40" s="16"/>
      <c r="C40" s="16"/>
      <c r="D40" s="16"/>
      <c r="E40" s="16"/>
      <c r="F40" s="16"/>
      <c r="G40" s="16"/>
      <c r="H40" s="16"/>
      <c r="I40" s="16"/>
      <c r="J40" s="16"/>
      <c r="K40" s="16"/>
      <c r="L40" s="16"/>
      <c r="M40" s="1"/>
    </row>
    <row r="41" spans="1:13" ht="20.399999999999999" x14ac:dyDescent="0.35">
      <c r="A41" s="15"/>
      <c r="B41" s="134"/>
      <c r="C41" s="16"/>
      <c r="D41" s="16"/>
      <c r="E41" s="16"/>
      <c r="F41" s="16"/>
      <c r="G41" s="16"/>
      <c r="H41" s="16"/>
      <c r="I41" s="16"/>
      <c r="J41" s="16"/>
      <c r="K41" s="16"/>
      <c r="L41" s="16"/>
      <c r="M41" s="1"/>
    </row>
    <row r="42" spans="1:13" x14ac:dyDescent="0.25">
      <c r="A42" s="15"/>
      <c r="B42" s="16"/>
      <c r="C42" s="16"/>
      <c r="D42" s="16"/>
      <c r="E42" s="16"/>
      <c r="F42" s="16"/>
      <c r="G42" s="16"/>
      <c r="H42" s="16"/>
      <c r="I42" s="16"/>
      <c r="J42" s="16"/>
      <c r="K42" s="16"/>
      <c r="L42" s="16"/>
      <c r="M42" s="1"/>
    </row>
    <row r="43" spans="1:13" x14ac:dyDescent="0.25">
      <c r="A43" s="15"/>
      <c r="B43" s="16"/>
      <c r="C43" s="16"/>
      <c r="D43" s="16"/>
      <c r="E43" s="16"/>
      <c r="F43" s="16"/>
      <c r="G43" s="16"/>
      <c r="H43" s="16"/>
      <c r="I43" s="16"/>
      <c r="J43" s="16"/>
      <c r="K43" s="16"/>
      <c r="L43" s="16"/>
      <c r="M43" s="1"/>
    </row>
    <row r="44" spans="1:13" x14ac:dyDescent="0.25">
      <c r="A44" s="99"/>
      <c r="B44" s="100"/>
      <c r="C44" s="100"/>
      <c r="D44" s="100"/>
      <c r="E44" s="100"/>
      <c r="F44" s="100"/>
      <c r="G44" s="100"/>
      <c r="H44" s="100"/>
      <c r="I44" s="101"/>
      <c r="J44" s="101"/>
      <c r="K44" s="101" t="s">
        <v>43</v>
      </c>
      <c r="L44" s="128" t="str">
        <f ca="1">MID(CELL("filename",A1),FIND("[",CELL("filename",A1))+1,SUM(FIND({"[";"]"},CELL("filename",A1))*{-1;1})-1)</f>
        <v>calcul-de-hertz-V3.xlsx</v>
      </c>
      <c r="M44" s="140"/>
    </row>
    <row r="45" spans="1:13" x14ac:dyDescent="0.25">
      <c r="A45" s="99"/>
      <c r="B45" s="100"/>
      <c r="C45" s="100"/>
      <c r="D45" s="100"/>
      <c r="E45" s="100"/>
      <c r="F45" s="100"/>
      <c r="G45" s="100"/>
      <c r="H45" s="100"/>
      <c r="I45" s="101"/>
      <c r="J45" s="101"/>
      <c r="K45" s="101" t="s">
        <v>44</v>
      </c>
      <c r="L45" s="129">
        <v>42515</v>
      </c>
      <c r="M45" s="141"/>
    </row>
    <row r="46" spans="1:13" ht="13.8" thickBot="1" x14ac:dyDescent="0.3">
      <c r="A46" s="148" t="s">
        <v>42</v>
      </c>
      <c r="B46" s="149"/>
      <c r="C46" s="149"/>
      <c r="D46" s="149"/>
      <c r="E46" s="149"/>
      <c r="F46" s="149"/>
      <c r="G46" s="149"/>
      <c r="H46" s="149"/>
      <c r="I46" s="149"/>
      <c r="J46" s="149"/>
      <c r="K46" s="149"/>
      <c r="L46" s="149"/>
      <c r="M46" s="150"/>
    </row>
  </sheetData>
  <sheetProtection sheet="1" objects="1" scenarios="1"/>
  <mergeCells count="2">
    <mergeCell ref="A2:M2"/>
    <mergeCell ref="A46:M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32"/>
  <sheetViews>
    <sheetView showGridLines="0" zoomScaleNormal="100" workbookViewId="0">
      <selection activeCell="M1" sqref="M1"/>
    </sheetView>
  </sheetViews>
  <sheetFormatPr baseColWidth="10" defaultRowHeight="13.2" x14ac:dyDescent="0.25"/>
  <cols>
    <col min="1" max="1" width="8.44140625" customWidth="1"/>
    <col min="2" max="2" width="51.44140625" bestFit="1" customWidth="1"/>
  </cols>
  <sheetData>
    <row r="1" spans="1:12" ht="30" x14ac:dyDescent="0.7">
      <c r="A1" s="157" t="s">
        <v>41</v>
      </c>
      <c r="B1" s="158"/>
      <c r="C1" s="158"/>
      <c r="D1" s="158"/>
      <c r="E1" s="158"/>
      <c r="F1" s="158"/>
      <c r="G1" s="158"/>
      <c r="H1" s="158"/>
      <c r="I1" s="158"/>
      <c r="J1" s="158"/>
      <c r="K1" s="158"/>
      <c r="L1" s="159"/>
    </row>
    <row r="2" spans="1:12" x14ac:dyDescent="0.25">
      <c r="A2" s="15"/>
      <c r="B2" s="16"/>
      <c r="C2" s="16"/>
      <c r="D2" s="16"/>
      <c r="E2" s="16"/>
      <c r="F2" s="16"/>
      <c r="G2" s="16"/>
      <c r="H2" s="16"/>
      <c r="I2" s="16"/>
      <c r="J2" s="16"/>
      <c r="K2" s="16"/>
      <c r="L2" s="1"/>
    </row>
    <row r="3" spans="1:12" ht="150.75" customHeight="1" x14ac:dyDescent="0.25">
      <c r="A3" s="15"/>
      <c r="B3" s="160" t="s">
        <v>111</v>
      </c>
      <c r="C3" s="160"/>
      <c r="D3" s="160"/>
      <c r="E3" s="160"/>
      <c r="F3" s="160"/>
      <c r="G3" s="160"/>
      <c r="H3" s="160"/>
      <c r="I3" s="160"/>
      <c r="J3" s="160"/>
      <c r="K3" s="160"/>
      <c r="L3" s="1"/>
    </row>
    <row r="4" spans="1:12" x14ac:dyDescent="0.25">
      <c r="A4" s="15"/>
      <c r="B4" s="16"/>
      <c r="C4" s="16"/>
      <c r="D4" s="16"/>
      <c r="E4" s="16"/>
      <c r="F4" s="16"/>
      <c r="G4" s="16"/>
      <c r="H4" s="16"/>
      <c r="I4" s="16"/>
      <c r="J4" s="16"/>
      <c r="K4" s="16"/>
      <c r="L4" s="1"/>
    </row>
    <row r="5" spans="1:12" x14ac:dyDescent="0.25">
      <c r="A5" s="15"/>
      <c r="B5" s="16"/>
      <c r="C5" s="16"/>
      <c r="D5" s="16"/>
      <c r="E5" s="16"/>
      <c r="F5" s="16"/>
      <c r="G5" s="16"/>
      <c r="H5" s="16"/>
      <c r="I5" s="16"/>
      <c r="J5" s="16"/>
      <c r="K5" s="16"/>
      <c r="L5" s="1"/>
    </row>
    <row r="6" spans="1:12" x14ac:dyDescent="0.25">
      <c r="A6" s="15"/>
      <c r="B6" s="16"/>
      <c r="C6" s="16"/>
      <c r="D6" s="16"/>
      <c r="E6" s="16"/>
      <c r="F6" s="16"/>
      <c r="G6" s="16"/>
      <c r="H6" s="16"/>
      <c r="I6" s="16"/>
      <c r="J6" s="16"/>
      <c r="K6" s="16"/>
      <c r="L6" s="1"/>
    </row>
    <row r="7" spans="1:12" x14ac:dyDescent="0.25">
      <c r="A7" s="15"/>
      <c r="B7" s="16"/>
      <c r="C7" s="16"/>
      <c r="D7" s="16"/>
      <c r="E7" s="16"/>
      <c r="F7" s="16"/>
      <c r="G7" s="16"/>
      <c r="H7" s="16"/>
      <c r="I7" s="16"/>
      <c r="J7" s="16"/>
      <c r="K7" s="16"/>
      <c r="L7" s="1"/>
    </row>
    <row r="8" spans="1:12" x14ac:dyDescent="0.25">
      <c r="A8" s="15"/>
      <c r="B8" s="16"/>
      <c r="C8" s="16"/>
      <c r="D8" s="16"/>
      <c r="E8" s="16"/>
      <c r="F8" s="16"/>
      <c r="G8" s="16"/>
      <c r="H8" s="16"/>
      <c r="I8" s="16"/>
      <c r="J8" s="16"/>
      <c r="K8" s="16"/>
      <c r="L8" s="1"/>
    </row>
    <row r="9" spans="1:12" x14ac:dyDescent="0.25">
      <c r="A9" s="15"/>
      <c r="B9" s="16"/>
      <c r="C9" s="16"/>
      <c r="D9" s="16"/>
      <c r="E9" s="16"/>
      <c r="F9" s="16"/>
      <c r="G9" s="16"/>
      <c r="H9" s="16"/>
      <c r="I9" s="16"/>
      <c r="J9" s="16"/>
      <c r="K9" s="16"/>
      <c r="L9" s="1"/>
    </row>
    <row r="10" spans="1:12" x14ac:dyDescent="0.25">
      <c r="A10" s="15"/>
      <c r="B10" s="16"/>
      <c r="C10" s="16"/>
      <c r="D10" s="16"/>
      <c r="E10" s="16"/>
      <c r="F10" s="16"/>
      <c r="G10" s="16"/>
      <c r="H10" s="16"/>
      <c r="I10" s="16"/>
      <c r="J10" s="16"/>
      <c r="K10" s="16"/>
      <c r="L10" s="1"/>
    </row>
    <row r="11" spans="1:12" x14ac:dyDescent="0.25">
      <c r="A11" s="15"/>
      <c r="B11" s="16"/>
      <c r="C11" s="16"/>
      <c r="D11" s="16"/>
      <c r="E11" s="16"/>
      <c r="F11" s="16"/>
      <c r="G11" s="16"/>
      <c r="H11" s="16"/>
      <c r="I11" s="16"/>
      <c r="J11" s="16"/>
      <c r="K11" s="16"/>
      <c r="L11" s="1"/>
    </row>
    <row r="12" spans="1:12" x14ac:dyDescent="0.25">
      <c r="A12" s="15"/>
      <c r="B12" s="16"/>
      <c r="C12" s="16"/>
      <c r="D12" s="16"/>
      <c r="E12" s="16"/>
      <c r="F12" s="16"/>
      <c r="G12" s="16"/>
      <c r="H12" s="16"/>
      <c r="I12" s="16"/>
      <c r="J12" s="16"/>
      <c r="K12" s="16"/>
      <c r="L12" s="1"/>
    </row>
    <row r="13" spans="1:12" x14ac:dyDescent="0.25">
      <c r="A13" s="15"/>
      <c r="B13" s="16"/>
      <c r="C13" s="16"/>
      <c r="D13" s="16"/>
      <c r="E13" s="16"/>
      <c r="F13" s="16"/>
      <c r="G13" s="16"/>
      <c r="H13" s="16"/>
      <c r="I13" s="16"/>
      <c r="J13" s="16"/>
      <c r="K13" s="16"/>
      <c r="L13" s="1"/>
    </row>
    <row r="14" spans="1:12" x14ac:dyDescent="0.25">
      <c r="A14" s="15"/>
      <c r="B14" s="16"/>
      <c r="C14" s="16"/>
      <c r="D14" s="16"/>
      <c r="E14" s="16"/>
      <c r="F14" s="16"/>
      <c r="G14" s="16"/>
      <c r="H14" s="16"/>
      <c r="I14" s="16"/>
      <c r="J14" s="16"/>
      <c r="K14" s="16"/>
      <c r="L14" s="1"/>
    </row>
    <row r="15" spans="1:12" x14ac:dyDescent="0.25">
      <c r="A15" s="15"/>
      <c r="B15" s="16"/>
      <c r="C15" s="16"/>
      <c r="D15" s="16"/>
      <c r="E15" s="16"/>
      <c r="F15" s="16"/>
      <c r="G15" s="16"/>
      <c r="H15" s="16"/>
      <c r="I15" s="16"/>
      <c r="J15" s="16"/>
      <c r="K15" s="16"/>
      <c r="L15" s="1"/>
    </row>
    <row r="16" spans="1:12" x14ac:dyDescent="0.25">
      <c r="A16" s="15"/>
      <c r="B16" s="16"/>
      <c r="C16" s="16"/>
      <c r="D16" s="16"/>
      <c r="E16" s="16"/>
      <c r="F16" s="16"/>
      <c r="G16" s="16"/>
      <c r="H16" s="16"/>
      <c r="I16" s="16"/>
      <c r="J16" s="16"/>
      <c r="K16" s="16"/>
      <c r="L16" s="1"/>
    </row>
    <row r="17" spans="1:12" x14ac:dyDescent="0.25">
      <c r="A17" s="15"/>
      <c r="B17" s="16"/>
      <c r="C17" s="16"/>
      <c r="D17" s="16"/>
      <c r="E17" s="16"/>
      <c r="F17" s="16"/>
      <c r="G17" s="16"/>
      <c r="H17" s="16"/>
      <c r="I17" s="16"/>
      <c r="J17" s="16"/>
      <c r="K17" s="16"/>
      <c r="L17" s="1"/>
    </row>
    <row r="18" spans="1:12" x14ac:dyDescent="0.25">
      <c r="A18" s="15"/>
      <c r="B18" s="16"/>
      <c r="C18" s="16"/>
      <c r="D18" s="16"/>
      <c r="E18" s="16"/>
      <c r="F18" s="16"/>
      <c r="G18" s="16"/>
      <c r="H18" s="16"/>
      <c r="I18" s="16"/>
      <c r="J18" s="16"/>
      <c r="K18" s="16"/>
      <c r="L18" s="1"/>
    </row>
    <row r="19" spans="1:12" x14ac:dyDescent="0.25">
      <c r="A19" s="15"/>
      <c r="B19" s="16"/>
      <c r="C19" s="16"/>
      <c r="D19" s="16"/>
      <c r="E19" s="16"/>
      <c r="F19" s="16"/>
      <c r="G19" s="16"/>
      <c r="H19" s="16"/>
      <c r="I19" s="16"/>
      <c r="J19" s="16"/>
      <c r="K19" s="16"/>
      <c r="L19" s="1"/>
    </row>
    <row r="20" spans="1:12" x14ac:dyDescent="0.25">
      <c r="A20" s="15"/>
      <c r="B20" s="16"/>
      <c r="C20" s="16"/>
      <c r="D20" s="16"/>
      <c r="E20" s="16"/>
      <c r="F20" s="16"/>
      <c r="G20" s="16"/>
      <c r="H20" s="16"/>
      <c r="I20" s="16"/>
      <c r="J20" s="16"/>
      <c r="K20" s="16"/>
      <c r="L20" s="1"/>
    </row>
    <row r="21" spans="1:12" x14ac:dyDescent="0.25">
      <c r="A21" s="15"/>
      <c r="B21" s="16"/>
      <c r="C21" s="16"/>
      <c r="D21" s="16"/>
      <c r="E21" s="16"/>
      <c r="F21" s="16"/>
      <c r="G21" s="16"/>
      <c r="H21" s="16"/>
      <c r="I21" s="16"/>
      <c r="J21" s="16"/>
      <c r="K21" s="16"/>
      <c r="L21" s="1"/>
    </row>
    <row r="22" spans="1:12" x14ac:dyDescent="0.25">
      <c r="A22" s="15"/>
      <c r="B22" s="16"/>
      <c r="C22" s="16"/>
      <c r="D22" s="16"/>
      <c r="E22" s="16"/>
      <c r="F22" s="16"/>
      <c r="G22" s="16"/>
      <c r="H22" s="16"/>
      <c r="I22" s="16"/>
      <c r="J22" s="16"/>
      <c r="K22" s="16"/>
      <c r="L22" s="1"/>
    </row>
    <row r="23" spans="1:12" x14ac:dyDescent="0.25">
      <c r="A23" s="15"/>
      <c r="B23" s="16"/>
      <c r="C23" s="16"/>
      <c r="D23" s="16"/>
      <c r="E23" s="16"/>
      <c r="F23" s="16"/>
      <c r="G23" s="16"/>
      <c r="H23" s="16"/>
      <c r="I23" s="16"/>
      <c r="J23" s="16"/>
      <c r="K23" s="16"/>
      <c r="L23" s="1"/>
    </row>
    <row r="24" spans="1:12" x14ac:dyDescent="0.25">
      <c r="A24" s="15"/>
      <c r="B24" s="16"/>
      <c r="C24" s="16"/>
      <c r="D24" s="16"/>
      <c r="E24" s="16"/>
      <c r="F24" s="16"/>
      <c r="G24" s="16"/>
      <c r="H24" s="16"/>
      <c r="I24" s="16"/>
      <c r="J24" s="16"/>
      <c r="K24" s="16"/>
      <c r="L24" s="1"/>
    </row>
    <row r="25" spans="1:12" x14ac:dyDescent="0.25">
      <c r="A25" s="15"/>
      <c r="B25" s="16"/>
      <c r="C25" s="16"/>
      <c r="D25" s="16"/>
      <c r="E25" s="16"/>
      <c r="F25" s="16"/>
      <c r="G25" s="16"/>
      <c r="H25" s="16"/>
      <c r="I25" s="16"/>
      <c r="J25" s="16"/>
      <c r="K25" s="16"/>
      <c r="L25" s="1"/>
    </row>
    <row r="26" spans="1:12" x14ac:dyDescent="0.25">
      <c r="A26" s="15"/>
      <c r="B26" s="16"/>
      <c r="C26" s="16"/>
      <c r="D26" s="16"/>
      <c r="E26" s="16"/>
      <c r="F26" s="16"/>
      <c r="G26" s="16"/>
      <c r="H26" s="16"/>
      <c r="I26" s="16"/>
      <c r="J26" s="16"/>
      <c r="K26" s="16"/>
      <c r="L26" s="1"/>
    </row>
    <row r="27" spans="1:12" x14ac:dyDescent="0.25">
      <c r="A27" s="15"/>
      <c r="B27" s="16"/>
      <c r="C27" s="16"/>
      <c r="D27" s="16"/>
      <c r="E27" s="16"/>
      <c r="F27" s="16"/>
      <c r="G27" s="16"/>
      <c r="H27" s="16"/>
      <c r="I27" s="16"/>
      <c r="J27" s="16"/>
      <c r="K27" s="16"/>
      <c r="L27" s="1"/>
    </row>
    <row r="28" spans="1:12" x14ac:dyDescent="0.25">
      <c r="A28" s="15"/>
      <c r="B28" s="16"/>
      <c r="C28" s="16"/>
      <c r="D28" s="16"/>
      <c r="E28" s="16"/>
      <c r="F28" s="16"/>
      <c r="G28" s="16"/>
      <c r="H28" s="16"/>
      <c r="I28" s="16"/>
      <c r="J28" s="16"/>
      <c r="K28" s="16"/>
      <c r="L28" s="1"/>
    </row>
    <row r="29" spans="1:12" ht="13.8" thickBot="1" x14ac:dyDescent="0.3">
      <c r="A29" s="15"/>
      <c r="B29" s="16"/>
      <c r="C29" s="16"/>
      <c r="D29" s="16"/>
      <c r="E29" s="16"/>
      <c r="F29" s="16"/>
      <c r="G29" s="16"/>
      <c r="H29" s="16"/>
      <c r="I29" s="16"/>
      <c r="J29" s="16"/>
      <c r="K29" s="16"/>
      <c r="L29" s="1"/>
    </row>
    <row r="30" spans="1:12" x14ac:dyDescent="0.25">
      <c r="A30" s="15"/>
      <c r="B30" s="32" t="s">
        <v>0</v>
      </c>
      <c r="C30" s="10"/>
      <c r="D30" s="16"/>
      <c r="E30" s="16"/>
      <c r="F30" s="16"/>
      <c r="G30" s="16"/>
      <c r="H30" s="16"/>
      <c r="I30" s="16"/>
      <c r="J30" s="16"/>
      <c r="K30" s="16"/>
      <c r="L30" s="1"/>
    </row>
    <row r="31" spans="1:12" x14ac:dyDescent="0.25">
      <c r="A31" s="15"/>
      <c r="B31" s="8" t="s">
        <v>1</v>
      </c>
      <c r="C31" s="11"/>
      <c r="D31" s="16"/>
      <c r="E31" s="16"/>
      <c r="F31" s="16"/>
      <c r="G31" s="16"/>
      <c r="H31" s="16"/>
      <c r="I31" s="16"/>
      <c r="J31" s="16"/>
      <c r="K31" s="16"/>
      <c r="L31" s="1"/>
    </row>
    <row r="32" spans="1:12" ht="15.6" x14ac:dyDescent="0.35">
      <c r="A32" s="15"/>
      <c r="B32" s="33" t="s">
        <v>2</v>
      </c>
      <c r="C32" s="96">
        <v>3500</v>
      </c>
      <c r="D32" s="16"/>
      <c r="E32" s="16"/>
      <c r="F32" s="16"/>
      <c r="G32" s="16"/>
      <c r="H32" s="16"/>
      <c r="I32" s="16"/>
      <c r="J32" s="16"/>
      <c r="K32" s="16"/>
      <c r="L32" s="1"/>
    </row>
    <row r="33" spans="1:12" x14ac:dyDescent="0.25">
      <c r="A33" s="15"/>
      <c r="B33" s="8" t="s">
        <v>4</v>
      </c>
      <c r="C33" s="97"/>
      <c r="D33" s="16"/>
      <c r="E33" s="16"/>
      <c r="F33" s="16"/>
      <c r="G33" s="16"/>
      <c r="H33" s="16"/>
      <c r="I33" s="16"/>
      <c r="J33" s="16"/>
      <c r="K33" s="16"/>
      <c r="L33" s="1"/>
    </row>
    <row r="34" spans="1:12" ht="15.6" x14ac:dyDescent="0.35">
      <c r="A34" s="15"/>
      <c r="B34" s="33" t="s">
        <v>21</v>
      </c>
      <c r="C34" s="96">
        <v>200000</v>
      </c>
      <c r="D34" s="16"/>
      <c r="E34" s="16"/>
      <c r="F34" s="16"/>
      <c r="G34" s="16"/>
      <c r="H34" s="16"/>
      <c r="I34" s="16"/>
      <c r="J34" s="16"/>
      <c r="K34" s="16"/>
      <c r="L34" s="1"/>
    </row>
    <row r="35" spans="1:12" ht="15.6" x14ac:dyDescent="0.35">
      <c r="A35" s="15"/>
      <c r="B35" s="33" t="s">
        <v>3</v>
      </c>
      <c r="C35" s="96">
        <v>0.3</v>
      </c>
      <c r="D35" s="16"/>
      <c r="E35" s="16"/>
      <c r="F35" s="16"/>
      <c r="G35" s="16"/>
      <c r="H35" s="16"/>
      <c r="I35" s="16"/>
      <c r="J35" s="16"/>
      <c r="K35" s="16"/>
      <c r="L35" s="1"/>
    </row>
    <row r="36" spans="1:12" ht="15.6" x14ac:dyDescent="0.35">
      <c r="A36" s="15"/>
      <c r="B36" s="33" t="s">
        <v>84</v>
      </c>
      <c r="C36" s="96">
        <v>200</v>
      </c>
      <c r="D36" s="16"/>
      <c r="E36" s="16"/>
      <c r="F36" s="16"/>
      <c r="G36" s="16"/>
      <c r="H36" s="16"/>
      <c r="I36" s="16"/>
      <c r="J36" s="16"/>
      <c r="K36" s="16"/>
      <c r="L36" s="1"/>
    </row>
    <row r="37" spans="1:12" ht="15.6" x14ac:dyDescent="0.35">
      <c r="A37" s="15"/>
      <c r="B37" s="33" t="s">
        <v>85</v>
      </c>
      <c r="C37" s="96">
        <v>90</v>
      </c>
      <c r="D37" s="16"/>
      <c r="E37" s="16"/>
      <c r="F37" s="16"/>
      <c r="G37" s="16"/>
      <c r="H37" s="16"/>
      <c r="I37" s="16"/>
      <c r="J37" s="16"/>
      <c r="K37" s="16"/>
      <c r="L37" s="1"/>
    </row>
    <row r="38" spans="1:12" ht="15.6" x14ac:dyDescent="0.35">
      <c r="A38" s="130">
        <f>IF($C$38&lt;=0,0,1)</f>
        <v>1</v>
      </c>
      <c r="B38" s="33" t="s">
        <v>6</v>
      </c>
      <c r="C38" s="96">
        <v>500</v>
      </c>
      <c r="D38" s="27" t="str">
        <f>IF(C38&lt;=0,"Cas impossible R2&lt;=0","")</f>
        <v/>
      </c>
      <c r="E38" s="16"/>
      <c r="F38" s="16"/>
      <c r="G38" s="16"/>
      <c r="H38" s="16"/>
      <c r="I38" s="16"/>
      <c r="J38" s="16"/>
      <c r="K38" s="16"/>
      <c r="L38" s="1"/>
    </row>
    <row r="39" spans="1:12" x14ac:dyDescent="0.25">
      <c r="A39" s="15"/>
      <c r="B39" s="8" t="s">
        <v>5</v>
      </c>
      <c r="C39" s="97"/>
      <c r="D39" s="16"/>
      <c r="E39" s="16"/>
      <c r="F39" s="16"/>
      <c r="G39" s="16"/>
      <c r="H39" s="16"/>
      <c r="I39" s="16"/>
      <c r="J39" s="16"/>
      <c r="K39" s="16"/>
      <c r="L39" s="1"/>
    </row>
    <row r="40" spans="1:12" ht="15.6" x14ac:dyDescent="0.35">
      <c r="A40" s="15"/>
      <c r="B40" s="33" t="s">
        <v>20</v>
      </c>
      <c r="C40" s="96">
        <v>200000</v>
      </c>
      <c r="D40" s="16"/>
      <c r="E40" s="16"/>
      <c r="F40" s="16"/>
      <c r="G40" s="16"/>
      <c r="H40" s="16"/>
      <c r="I40" s="16"/>
      <c r="J40" s="16"/>
      <c r="K40" s="16"/>
      <c r="L40" s="1"/>
    </row>
    <row r="41" spans="1:12" ht="15.6" x14ac:dyDescent="0.35">
      <c r="A41" s="15"/>
      <c r="B41" s="33" t="s">
        <v>19</v>
      </c>
      <c r="C41" s="96">
        <v>0.3</v>
      </c>
      <c r="D41" s="16"/>
      <c r="E41" s="16"/>
      <c r="F41" s="16"/>
      <c r="G41" s="16"/>
      <c r="H41" s="16"/>
      <c r="I41" s="16"/>
      <c r="J41" s="16"/>
      <c r="K41" s="16"/>
      <c r="L41" s="1"/>
    </row>
    <row r="42" spans="1:12" ht="15.6" x14ac:dyDescent="0.35">
      <c r="A42" s="15"/>
      <c r="B42" s="33" t="s">
        <v>87</v>
      </c>
      <c r="C42" s="96">
        <v>200</v>
      </c>
      <c r="D42" s="16"/>
      <c r="E42" s="16"/>
      <c r="F42" s="16"/>
      <c r="G42" s="16"/>
      <c r="H42" s="16"/>
      <c r="I42" s="16"/>
      <c r="J42" s="16"/>
      <c r="K42" s="16"/>
      <c r="L42" s="1"/>
    </row>
    <row r="43" spans="1:12" ht="15.6" x14ac:dyDescent="0.35">
      <c r="A43" s="15"/>
      <c r="B43" s="33" t="s">
        <v>86</v>
      </c>
      <c r="C43" s="96">
        <v>20</v>
      </c>
      <c r="D43" s="16"/>
      <c r="E43" s="16"/>
      <c r="F43" s="16"/>
      <c r="G43" s="16"/>
      <c r="H43" s="16"/>
      <c r="I43" s="16"/>
      <c r="J43" s="16"/>
      <c r="K43" s="16"/>
      <c r="L43" s="1"/>
    </row>
    <row r="44" spans="1:12" ht="15.6" x14ac:dyDescent="0.35">
      <c r="A44" s="130">
        <f>IF(OR(ABS($C$44)&lt;=$C$38,C44=0),0,1)</f>
        <v>1</v>
      </c>
      <c r="B44" s="33" t="s">
        <v>18</v>
      </c>
      <c r="C44" s="131">
        <v>600</v>
      </c>
      <c r="D44" s="27" t="str">
        <f>IF(C44=0,"Cas impossible R2=0",IF(ABS(C44)&lt;$C$38,"Cas impossible |R2|&lt;=R1",""))</f>
        <v/>
      </c>
      <c r="E44" s="16"/>
      <c r="F44" s="16"/>
      <c r="G44" s="16"/>
      <c r="H44" s="16"/>
      <c r="I44" s="16"/>
      <c r="J44" s="16"/>
      <c r="K44" s="16"/>
      <c r="L44" s="1"/>
    </row>
    <row r="45" spans="1:12" x14ac:dyDescent="0.25">
      <c r="A45" s="15"/>
      <c r="B45" s="34" t="s">
        <v>80</v>
      </c>
      <c r="C45" s="12"/>
      <c r="D45" s="16"/>
      <c r="E45" s="16"/>
      <c r="F45" s="16"/>
      <c r="G45" s="16"/>
      <c r="H45" s="16"/>
      <c r="I45" s="16"/>
      <c r="J45" s="16"/>
      <c r="K45" s="16"/>
      <c r="L45" s="1"/>
    </row>
    <row r="46" spans="1:12" x14ac:dyDescent="0.25">
      <c r="A46" s="15"/>
      <c r="B46" s="8" t="s">
        <v>1</v>
      </c>
      <c r="C46" s="13"/>
      <c r="D46" s="16"/>
      <c r="E46" s="16"/>
      <c r="F46" s="16"/>
      <c r="G46" s="16"/>
      <c r="H46" s="16"/>
      <c r="I46" s="16"/>
      <c r="J46" s="16"/>
      <c r="K46" s="16"/>
      <c r="L46" s="1"/>
    </row>
    <row r="47" spans="1:12" x14ac:dyDescent="0.25">
      <c r="A47" s="15"/>
      <c r="B47" s="35" t="s">
        <v>51</v>
      </c>
      <c r="C47" s="104">
        <f>IF(OR(A38=0,A44=0),"",(((3*PI())/4)*C32*(C68+C69)*C67)^(1/3))</f>
        <v>1.8676683386592783</v>
      </c>
      <c r="D47" s="16"/>
      <c r="E47" s="16"/>
      <c r="F47" s="16"/>
      <c r="G47" s="16"/>
      <c r="H47" s="16"/>
      <c r="I47" s="16"/>
      <c r="J47" s="16"/>
      <c r="K47" s="16"/>
      <c r="L47" s="1"/>
    </row>
    <row r="48" spans="1:12" ht="15.6" x14ac:dyDescent="0.35">
      <c r="A48" s="15"/>
      <c r="B48" s="35" t="s">
        <v>79</v>
      </c>
      <c r="C48" s="105">
        <f>IF(OR(A38=0,A44=0),"",(3/2)*($C$32/(PI()*$C$47^2)))</f>
        <v>479.08207028459697</v>
      </c>
      <c r="D48" s="16"/>
      <c r="E48" s="16"/>
      <c r="F48" s="16"/>
      <c r="G48" s="16"/>
      <c r="H48" s="16"/>
      <c r="I48" s="16"/>
      <c r="J48" s="16"/>
      <c r="K48" s="16"/>
      <c r="L48" s="1"/>
    </row>
    <row r="49" spans="1:15" ht="15.6" x14ac:dyDescent="0.35">
      <c r="A49" s="15"/>
      <c r="B49" s="35" t="s">
        <v>10</v>
      </c>
      <c r="C49" s="105">
        <f>IF(OR(A38=0,A44=0),"",(2/3)*$C$48)</f>
        <v>319.38804685639798</v>
      </c>
      <c r="D49" s="16"/>
      <c r="E49" s="16"/>
      <c r="F49" s="16"/>
      <c r="G49" s="16"/>
      <c r="H49" s="16"/>
      <c r="I49" s="16"/>
      <c r="J49" s="16"/>
      <c r="K49" s="16"/>
      <c r="L49" s="1"/>
    </row>
    <row r="50" spans="1:15" ht="13.8" x14ac:dyDescent="0.3">
      <c r="A50" s="15"/>
      <c r="B50" s="35" t="s">
        <v>11</v>
      </c>
      <c r="C50" s="106">
        <f>IF(OR(A38=0,A44=0),"",(((9*(PI()^2)*(($C$68+$C$69)^2)*($C$32^2))/(16*$C$67)))^(1/3))</f>
        <v>1.2790011751844469E-2</v>
      </c>
      <c r="D50" s="16"/>
      <c r="E50" s="16"/>
      <c r="F50" s="16"/>
      <c r="G50" s="16"/>
      <c r="H50" s="16"/>
      <c r="I50" s="16"/>
      <c r="J50" s="16"/>
      <c r="K50" s="16"/>
      <c r="L50" s="1"/>
    </row>
    <row r="51" spans="1:15" ht="15.6" x14ac:dyDescent="0.35">
      <c r="A51" s="15"/>
      <c r="B51" s="35" t="s">
        <v>35</v>
      </c>
      <c r="C51" s="104">
        <f>IF(OR(A38=0,A44=0),"",(C32*C47)/(2*C38-C50))</f>
        <v>6.5369227926268119</v>
      </c>
      <c r="D51" s="16"/>
      <c r="E51" s="16"/>
      <c r="F51" s="16"/>
      <c r="G51" s="16"/>
      <c r="H51" s="16"/>
      <c r="I51" s="16"/>
      <c r="J51" s="16"/>
      <c r="K51" s="16"/>
      <c r="L51" s="1"/>
    </row>
    <row r="52" spans="1:15" ht="13.8" x14ac:dyDescent="0.3">
      <c r="A52" s="15"/>
      <c r="B52" s="8" t="s">
        <v>4</v>
      </c>
      <c r="C52" s="107"/>
      <c r="D52" s="16"/>
      <c r="E52" s="16"/>
      <c r="F52" s="16"/>
      <c r="G52" s="16"/>
      <c r="H52" s="16"/>
      <c r="I52" s="16"/>
      <c r="J52" s="16"/>
      <c r="K52" s="16"/>
      <c r="L52" s="1"/>
      <c r="N52" s="92"/>
    </row>
    <row r="53" spans="1:15" ht="15.6" x14ac:dyDescent="0.35">
      <c r="A53" s="15"/>
      <c r="B53" s="35" t="s">
        <v>47</v>
      </c>
      <c r="C53" s="105">
        <f>IF(OR(A38=0,A44=0),"",-((1+2*C35)/2)*C48)</f>
        <v>-383.2656562276776</v>
      </c>
      <c r="D53" s="27" t="str">
        <f>IF(OR(A38=0,A44=0),"",IF(ABS(C53)&gt;$C$36,"Limite élastique dépassée",""))</f>
        <v>Limite élastique dépassée</v>
      </c>
      <c r="E53" s="16"/>
      <c r="F53" s="16"/>
      <c r="G53" s="16"/>
      <c r="H53" s="16"/>
      <c r="I53" s="16"/>
      <c r="J53" s="16"/>
      <c r="K53" s="16"/>
      <c r="L53" s="1"/>
      <c r="N53" s="92"/>
    </row>
    <row r="54" spans="1:15" ht="15.6" x14ac:dyDescent="0.35">
      <c r="A54" s="15"/>
      <c r="B54" s="35" t="s">
        <v>48</v>
      </c>
      <c r="C54" s="105">
        <f>IF(OR(A38=0,A44=0),"",$C$53)</f>
        <v>-383.2656562276776</v>
      </c>
      <c r="D54" s="27" t="str">
        <f>IF(OR(A38=0,A44=0),"",IF(ABS(C54)&gt;$C$36,"Limite élastique dépassée",""))</f>
        <v>Limite élastique dépassée</v>
      </c>
      <c r="E54" s="16"/>
      <c r="F54" s="16"/>
      <c r="G54" s="16"/>
      <c r="H54" s="16"/>
      <c r="I54" s="16"/>
      <c r="J54" s="16"/>
      <c r="K54" s="16"/>
      <c r="L54" s="1"/>
    </row>
    <row r="55" spans="1:15" ht="15.6" x14ac:dyDescent="0.35">
      <c r="A55" s="15"/>
      <c r="B55" s="35" t="s">
        <v>12</v>
      </c>
      <c r="C55" s="105">
        <f>IF(OR(A38=0,A44=0),"",-C48)</f>
        <v>-479.08207028459697</v>
      </c>
      <c r="D55" s="27" t="str">
        <f>IF(OR(A38=0,A44=0),"",IF(ABS(C55)&gt;$C$36,"Limite élastique dépassée",""))</f>
        <v>Limite élastique dépassée</v>
      </c>
      <c r="E55" s="16"/>
      <c r="F55" s="16"/>
      <c r="G55" s="16"/>
      <c r="H55" s="16"/>
      <c r="I55" s="16"/>
      <c r="J55" s="16"/>
      <c r="K55" s="16"/>
      <c r="L55" s="1"/>
      <c r="O55" s="92"/>
    </row>
    <row r="56" spans="1:15" ht="15.6" x14ac:dyDescent="0.35">
      <c r="A56" s="15"/>
      <c r="B56" s="35" t="s">
        <v>91</v>
      </c>
      <c r="C56" s="105">
        <f>IF(OR(A38=0,A44=0),"",0.5*(C55-C53))</f>
        <v>-47.908207028459685</v>
      </c>
      <c r="D56" s="27" t="str">
        <f>IF(OR(A38=0,A44=0),"",IF(ABS(C56)&gt;$C$37,"Limite en cisaillement dépassée",""))</f>
        <v/>
      </c>
      <c r="E56" s="16"/>
      <c r="F56" s="16"/>
      <c r="G56" s="16"/>
      <c r="H56" s="16"/>
      <c r="I56" s="16"/>
      <c r="J56" s="16"/>
      <c r="K56" s="16"/>
      <c r="L56" s="1"/>
    </row>
    <row r="57" spans="1:15" ht="15.6" x14ac:dyDescent="0.35">
      <c r="A57" s="15"/>
      <c r="B57" s="35" t="s">
        <v>90</v>
      </c>
      <c r="C57" s="108">
        <f>IF(OR(A38=0,A44=0),"",0.5*((-1/(1+(C58/$C$47)^2))-(-(1+C35)*(1-(C58/$C$47)*ATAN($C$47/C58))+0.5*1/(1+(C58/$C$47)^2)))*$C$48)</f>
        <v>-148.43080393173236</v>
      </c>
      <c r="D57" s="27" t="str">
        <f>IF(OR(A38=0,A44=0),"",IF(ABS(C57)&gt;$C$37,"Limite en cisaillement dépassée",""))</f>
        <v>Limite en cisaillement dépassée</v>
      </c>
      <c r="E57" s="16"/>
      <c r="F57" s="16"/>
      <c r="G57" s="16"/>
      <c r="H57" s="16"/>
      <c r="I57" s="16"/>
      <c r="J57" s="16"/>
      <c r="K57" s="16"/>
      <c r="L57" s="1"/>
    </row>
    <row r="58" spans="1:15" ht="15.6" x14ac:dyDescent="0.35">
      <c r="A58" s="15"/>
      <c r="B58" s="35" t="s">
        <v>52</v>
      </c>
      <c r="C58" s="108">
        <f>IF(OR(A38=0,A44=0),"",0.5*C47)</f>
        <v>0.93383416932963914</v>
      </c>
      <c r="D58" s="27"/>
      <c r="E58" s="16"/>
      <c r="F58" s="16"/>
      <c r="G58" s="16"/>
      <c r="H58" s="16"/>
      <c r="I58" s="16"/>
      <c r="J58" s="16"/>
      <c r="K58" s="16"/>
      <c r="L58" s="1"/>
    </row>
    <row r="59" spans="1:15" x14ac:dyDescent="0.25">
      <c r="A59" s="15"/>
      <c r="B59" s="14" t="s">
        <v>5</v>
      </c>
      <c r="C59" s="107"/>
      <c r="D59" s="16"/>
      <c r="E59" s="16"/>
      <c r="F59" s="16"/>
      <c r="G59" s="16"/>
      <c r="H59" s="16"/>
      <c r="I59" s="16"/>
      <c r="J59" s="16"/>
      <c r="K59" s="16"/>
      <c r="L59" s="1"/>
    </row>
    <row r="60" spans="1:15" ht="15.6" x14ac:dyDescent="0.35">
      <c r="A60" s="15"/>
      <c r="B60" s="35" t="s">
        <v>49</v>
      </c>
      <c r="C60" s="108">
        <f>IF(OR(A38=0,A44=0),"",-((1+2*C41)/2)*C48)</f>
        <v>-383.2656562276776</v>
      </c>
      <c r="D60" s="27" t="str">
        <f>IF(OR(A38=0,A44=0),"",IF(ABS(C60)&gt;$C$42,"Limite élastique dépassée",""))</f>
        <v>Limite élastique dépassée</v>
      </c>
      <c r="E60" s="16"/>
      <c r="F60" s="16"/>
      <c r="G60" s="16"/>
      <c r="H60" s="16"/>
      <c r="I60" s="16"/>
      <c r="J60" s="16"/>
      <c r="K60" s="16"/>
      <c r="L60" s="1"/>
    </row>
    <row r="61" spans="1:15" ht="15.6" x14ac:dyDescent="0.35">
      <c r="A61" s="15"/>
      <c r="B61" s="35" t="s">
        <v>50</v>
      </c>
      <c r="C61" s="105">
        <f>IF(OR(A38=0,A44=0),"",$C$60)</f>
        <v>-383.2656562276776</v>
      </c>
      <c r="D61" s="27" t="str">
        <f>IF(OR(A38=0,A44=0),"",IF(ABS(C61)&gt;$C$42,"Limite élastique dépassée",""))</f>
        <v>Limite élastique dépassée</v>
      </c>
      <c r="E61" s="16"/>
      <c r="F61" s="16"/>
      <c r="G61" s="16"/>
      <c r="H61" s="16"/>
      <c r="I61" s="16"/>
      <c r="J61" s="16"/>
      <c r="K61" s="16"/>
      <c r="L61" s="1"/>
    </row>
    <row r="62" spans="1:15" ht="15.6" x14ac:dyDescent="0.35">
      <c r="A62" s="15"/>
      <c r="B62" s="35" t="s">
        <v>15</v>
      </c>
      <c r="C62" s="105">
        <f>IF(OR(A38=0,A44=0),"",-C48)</f>
        <v>-479.08207028459697</v>
      </c>
      <c r="D62" s="27" t="str">
        <f>IF(OR(A38=0,A44=0),"",IF(ABS(C62)&gt;$C$42,"Limite élastique dépassée",""))</f>
        <v>Limite élastique dépassée</v>
      </c>
      <c r="E62" s="16"/>
      <c r="F62" s="16"/>
      <c r="G62" s="16"/>
      <c r="H62" s="16"/>
      <c r="I62" s="16"/>
      <c r="J62" s="16"/>
      <c r="K62" s="16"/>
      <c r="L62" s="1"/>
    </row>
    <row r="63" spans="1:15" ht="15.6" x14ac:dyDescent="0.35">
      <c r="A63" s="15"/>
      <c r="B63" s="35" t="s">
        <v>88</v>
      </c>
      <c r="C63" s="105">
        <f>IF(OR(A38=0,A44=0),"",0.5*(C62-C60))</f>
        <v>-47.908207028459685</v>
      </c>
      <c r="D63" s="27" t="str">
        <f>IF(OR(A38=0,A44=0),"",IF(ABS(C63)&gt;$C$43,"Limite en cisaillement dépassée",""))</f>
        <v>Limite en cisaillement dépassée</v>
      </c>
      <c r="E63" s="16"/>
      <c r="F63" s="16"/>
      <c r="G63" s="16"/>
      <c r="H63" s="16"/>
      <c r="I63" s="16"/>
      <c r="J63" s="16"/>
      <c r="K63" s="16"/>
      <c r="L63" s="1"/>
    </row>
    <row r="64" spans="1:15" ht="15.6" x14ac:dyDescent="0.35">
      <c r="A64" s="15"/>
      <c r="B64" s="36" t="s">
        <v>89</v>
      </c>
      <c r="C64" s="109">
        <f>IF(OR(A38=0,A44=0),"",0.5*((-1/(1+(C65/$C$47)^2))-(-(1+C41)*(1-(C65/$C$47)*ATAN($C$47/C65))+0.5*1/(1+(C65/$C$47)^2)))*$C$48)</f>
        <v>-148.43080393173236</v>
      </c>
      <c r="D64" s="27" t="str">
        <f>IF(OR(A38=0,A44=0),"",IF(ABS(C64)&gt;$C$43,"Limite en cisaillement dépassée",""))</f>
        <v>Limite en cisaillement dépassée</v>
      </c>
      <c r="E64" s="16"/>
      <c r="F64" s="16"/>
      <c r="G64" s="16"/>
      <c r="H64" s="16"/>
      <c r="I64" s="16"/>
      <c r="J64" s="16"/>
      <c r="K64" s="16"/>
      <c r="L64" s="1"/>
    </row>
    <row r="65" spans="1:12" ht="15.6" x14ac:dyDescent="0.35">
      <c r="A65" s="15"/>
      <c r="B65" s="93" t="s">
        <v>53</v>
      </c>
      <c r="C65" s="105">
        <f>IF(OR(A38=0,A44=0),"",0.5*C47)</f>
        <v>0.93383416932963914</v>
      </c>
      <c r="D65" s="27"/>
      <c r="E65" s="16"/>
      <c r="F65" s="16"/>
      <c r="G65" s="16"/>
      <c r="H65" s="16"/>
      <c r="I65" s="16"/>
      <c r="J65" s="16"/>
      <c r="K65" s="16"/>
      <c r="L65" s="1"/>
    </row>
    <row r="66" spans="1:12" x14ac:dyDescent="0.25">
      <c r="A66" s="15"/>
      <c r="B66" s="8" t="s">
        <v>78</v>
      </c>
      <c r="C66" s="132"/>
      <c r="D66" s="27"/>
      <c r="E66" s="16"/>
      <c r="F66" s="16"/>
      <c r="G66" s="16"/>
      <c r="H66" s="16"/>
      <c r="I66" s="16"/>
      <c r="J66" s="16"/>
      <c r="K66" s="16"/>
      <c r="L66" s="1"/>
    </row>
    <row r="67" spans="1:12" ht="15.6" x14ac:dyDescent="0.35">
      <c r="A67" s="15"/>
      <c r="B67" s="35" t="s">
        <v>8</v>
      </c>
      <c r="C67" s="105">
        <f>IF(OR(A38=0,A44=0),"",(C38*C44)/(C38+C44))</f>
        <v>272.72727272727275</v>
      </c>
      <c r="D67" s="27"/>
      <c r="E67" s="16"/>
      <c r="F67" s="16"/>
      <c r="G67" s="16"/>
      <c r="H67" s="16"/>
      <c r="I67" s="16"/>
      <c r="J67" s="16"/>
      <c r="K67" s="16"/>
      <c r="L67" s="1"/>
    </row>
    <row r="68" spans="1:12" ht="15.6" x14ac:dyDescent="0.35">
      <c r="A68" s="15"/>
      <c r="B68" s="94" t="s">
        <v>82</v>
      </c>
      <c r="C68" s="110">
        <f>IF(OR(A38=0,A44=0),"",(1-C35^2)/(PI()*C34))</f>
        <v>1.4483099821362478E-6</v>
      </c>
      <c r="D68" s="27"/>
      <c r="E68" s="16"/>
      <c r="F68" s="16"/>
      <c r="G68" s="16"/>
      <c r="H68" s="16"/>
      <c r="I68" s="16"/>
      <c r="J68" s="16"/>
      <c r="K68" s="16"/>
      <c r="L68" s="1"/>
    </row>
    <row r="69" spans="1:12" ht="16.2" thickBot="1" x14ac:dyDescent="0.4">
      <c r="A69" s="15"/>
      <c r="B69" s="37" t="s">
        <v>83</v>
      </c>
      <c r="C69" s="111">
        <f>IF(OR(A38=0,A44=0),"",(1-C41^2)/(PI()*C40))</f>
        <v>1.4483099821362478E-6</v>
      </c>
      <c r="D69" s="27"/>
      <c r="E69" s="16"/>
      <c r="F69" s="16"/>
      <c r="G69" s="16"/>
      <c r="H69" s="16"/>
      <c r="I69" s="16"/>
      <c r="J69" s="16"/>
      <c r="K69" s="16"/>
      <c r="L69" s="1"/>
    </row>
    <row r="70" spans="1:12" x14ac:dyDescent="0.25">
      <c r="A70" s="15"/>
      <c r="B70" s="16"/>
      <c r="C70" s="16"/>
      <c r="D70" s="27"/>
      <c r="E70" s="16"/>
      <c r="F70" s="16"/>
      <c r="G70" s="16"/>
      <c r="H70" s="16"/>
      <c r="I70" s="16"/>
      <c r="J70" s="16"/>
      <c r="K70" s="16"/>
      <c r="L70" s="1"/>
    </row>
    <row r="71" spans="1:12" x14ac:dyDescent="0.25">
      <c r="A71" s="15"/>
      <c r="B71" s="16"/>
      <c r="C71" s="16"/>
      <c r="D71" s="27"/>
      <c r="E71" s="16"/>
      <c r="F71" s="16"/>
      <c r="G71" s="16"/>
      <c r="H71" s="16"/>
      <c r="I71" s="16"/>
      <c r="J71" s="16"/>
      <c r="K71" s="16"/>
      <c r="L71" s="1"/>
    </row>
    <row r="72" spans="1:12" x14ac:dyDescent="0.25">
      <c r="A72" s="15"/>
      <c r="B72" s="16"/>
      <c r="C72" s="16"/>
      <c r="D72" s="27"/>
      <c r="E72" s="16"/>
      <c r="F72" s="16"/>
      <c r="G72" s="16"/>
      <c r="H72" s="16"/>
      <c r="I72" s="16"/>
      <c r="J72" s="16"/>
      <c r="K72" s="16"/>
      <c r="L72" s="1"/>
    </row>
    <row r="73" spans="1:12" x14ac:dyDescent="0.25">
      <c r="A73" s="15"/>
      <c r="B73" s="16"/>
      <c r="C73" s="16"/>
      <c r="D73" s="27"/>
      <c r="E73" s="16"/>
      <c r="F73" s="16"/>
      <c r="G73" s="16"/>
      <c r="H73" s="16"/>
      <c r="I73" s="16"/>
      <c r="J73" s="16"/>
      <c r="K73" s="16"/>
      <c r="L73" s="1"/>
    </row>
    <row r="74" spans="1:12" x14ac:dyDescent="0.25">
      <c r="A74" s="15"/>
      <c r="B74" s="16"/>
      <c r="C74" s="16"/>
      <c r="D74" s="27"/>
      <c r="E74" s="16"/>
      <c r="F74" s="16"/>
      <c r="G74" s="16"/>
      <c r="H74" s="16"/>
      <c r="I74" s="16"/>
      <c r="J74" s="16"/>
      <c r="K74" s="16"/>
      <c r="L74" s="1"/>
    </row>
    <row r="75" spans="1:12" x14ac:dyDescent="0.25">
      <c r="A75" s="15"/>
      <c r="B75" s="16"/>
      <c r="C75" s="16"/>
      <c r="D75" s="27"/>
      <c r="E75" s="16"/>
      <c r="F75" s="16"/>
      <c r="G75" s="16"/>
      <c r="H75" s="16"/>
      <c r="I75" s="16"/>
      <c r="J75" s="16"/>
      <c r="K75" s="16"/>
      <c r="L75" s="1"/>
    </row>
    <row r="76" spans="1:12" x14ac:dyDescent="0.25">
      <c r="A76" s="15"/>
      <c r="B76" s="16"/>
      <c r="C76" s="16"/>
      <c r="D76" s="27"/>
      <c r="E76" s="16"/>
      <c r="F76" s="16"/>
      <c r="G76" s="16"/>
      <c r="H76" s="16"/>
      <c r="I76" s="16"/>
      <c r="J76" s="16"/>
      <c r="K76" s="16"/>
      <c r="L76" s="1"/>
    </row>
    <row r="77" spans="1:12" x14ac:dyDescent="0.25">
      <c r="A77" s="15"/>
      <c r="B77" s="16"/>
      <c r="C77" s="16"/>
      <c r="D77" s="27"/>
      <c r="E77" s="16"/>
      <c r="F77" s="16"/>
      <c r="G77" s="16"/>
      <c r="H77" s="16"/>
      <c r="I77" s="16"/>
      <c r="J77" s="16"/>
      <c r="K77" s="16"/>
      <c r="L77" s="1"/>
    </row>
    <row r="78" spans="1:12" x14ac:dyDescent="0.25">
      <c r="A78" s="15"/>
      <c r="B78" s="16"/>
      <c r="C78" s="16"/>
      <c r="D78" s="27"/>
      <c r="E78" s="16"/>
      <c r="F78" s="16"/>
      <c r="G78" s="16"/>
      <c r="H78" s="16"/>
      <c r="I78" s="16"/>
      <c r="J78" s="16"/>
      <c r="K78" s="16"/>
      <c r="L78" s="1"/>
    </row>
    <row r="79" spans="1:12" x14ac:dyDescent="0.25">
      <c r="A79" s="15"/>
      <c r="B79" s="16"/>
      <c r="C79" s="16"/>
      <c r="D79" s="27"/>
      <c r="E79" s="16"/>
      <c r="F79" s="16"/>
      <c r="G79" s="16"/>
      <c r="H79" s="16"/>
      <c r="I79" s="16"/>
      <c r="J79" s="16"/>
      <c r="K79" s="16"/>
      <c r="L79" s="1"/>
    </row>
    <row r="80" spans="1:12" x14ac:dyDescent="0.25">
      <c r="A80" s="15"/>
      <c r="B80" s="16"/>
      <c r="C80" s="16"/>
      <c r="D80" s="27"/>
      <c r="E80" s="16"/>
      <c r="F80" s="16"/>
      <c r="G80" s="16"/>
      <c r="H80" s="16"/>
      <c r="I80" s="16"/>
      <c r="J80" s="16"/>
      <c r="K80" s="16"/>
      <c r="L80" s="1"/>
    </row>
    <row r="81" spans="1:12" x14ac:dyDescent="0.25">
      <c r="A81" s="15"/>
      <c r="B81" s="16"/>
      <c r="C81" s="16"/>
      <c r="D81" s="27"/>
      <c r="E81" s="16"/>
      <c r="F81" s="16"/>
      <c r="G81" s="16"/>
      <c r="H81" s="16"/>
      <c r="I81" s="16"/>
      <c r="J81" s="16"/>
      <c r="K81" s="16"/>
      <c r="L81" s="1"/>
    </row>
    <row r="82" spans="1:12" x14ac:dyDescent="0.25">
      <c r="A82" s="15"/>
      <c r="B82" s="16"/>
      <c r="C82" s="16"/>
      <c r="D82" s="27"/>
      <c r="E82" s="16"/>
      <c r="F82" s="16"/>
      <c r="G82" s="16"/>
      <c r="H82" s="16"/>
      <c r="I82" s="16"/>
      <c r="J82" s="16"/>
      <c r="K82" s="16"/>
      <c r="L82" s="1"/>
    </row>
    <row r="83" spans="1:12" x14ac:dyDescent="0.25">
      <c r="A83" s="15"/>
      <c r="B83" s="16"/>
      <c r="C83" s="16"/>
      <c r="D83" s="27"/>
      <c r="E83" s="16"/>
      <c r="F83" s="16"/>
      <c r="G83" s="16"/>
      <c r="H83" s="16"/>
      <c r="I83" s="16"/>
      <c r="J83" s="16"/>
      <c r="K83" s="16"/>
      <c r="L83" s="1"/>
    </row>
    <row r="84" spans="1:12" x14ac:dyDescent="0.25">
      <c r="A84" s="15"/>
      <c r="B84" s="16"/>
      <c r="C84" s="16"/>
      <c r="D84" s="27"/>
      <c r="E84" s="16"/>
      <c r="F84" s="16"/>
      <c r="G84" s="16"/>
      <c r="H84" s="16"/>
      <c r="I84" s="16"/>
      <c r="J84" s="16"/>
      <c r="K84" s="16"/>
      <c r="L84" s="1"/>
    </row>
    <row r="85" spans="1:12" x14ac:dyDescent="0.25">
      <c r="A85" s="15"/>
      <c r="B85" s="16"/>
      <c r="C85" s="16"/>
      <c r="D85" s="27"/>
      <c r="E85" s="16"/>
      <c r="F85" s="16"/>
      <c r="G85" s="16"/>
      <c r="H85" s="16"/>
      <c r="I85" s="16"/>
      <c r="J85" s="16"/>
      <c r="K85" s="16"/>
      <c r="L85" s="1"/>
    </row>
    <row r="86" spans="1:12" x14ac:dyDescent="0.25">
      <c r="A86" s="15"/>
      <c r="B86" s="16"/>
      <c r="C86" s="16"/>
      <c r="D86" s="27"/>
      <c r="E86" s="16"/>
      <c r="F86" s="16"/>
      <c r="G86" s="16"/>
      <c r="H86" s="16"/>
      <c r="I86" s="16"/>
      <c r="J86" s="16"/>
      <c r="K86" s="16"/>
      <c r="L86" s="1"/>
    </row>
    <row r="87" spans="1:12" x14ac:dyDescent="0.25">
      <c r="A87" s="15"/>
      <c r="B87" s="16"/>
      <c r="C87" s="16"/>
      <c r="D87" s="27"/>
      <c r="E87" s="16"/>
      <c r="F87" s="16"/>
      <c r="G87" s="16"/>
      <c r="H87" s="16"/>
      <c r="I87" s="16"/>
      <c r="J87" s="16"/>
      <c r="K87" s="16"/>
      <c r="L87" s="1"/>
    </row>
    <row r="88" spans="1:12" x14ac:dyDescent="0.25">
      <c r="A88" s="15"/>
      <c r="B88" s="16"/>
      <c r="C88" s="16"/>
      <c r="D88" s="27"/>
      <c r="E88" s="16"/>
      <c r="F88" s="16"/>
      <c r="G88" s="16"/>
      <c r="H88" s="16"/>
      <c r="I88" s="16"/>
      <c r="J88" s="16"/>
      <c r="K88" s="16"/>
      <c r="L88" s="1"/>
    </row>
    <row r="89" spans="1:12" x14ac:dyDescent="0.25">
      <c r="A89" s="15"/>
      <c r="B89" s="16"/>
      <c r="C89" s="16"/>
      <c r="D89" s="27"/>
      <c r="E89" s="16"/>
      <c r="F89" s="16"/>
      <c r="G89" s="16"/>
      <c r="H89" s="16"/>
      <c r="I89" s="16"/>
      <c r="J89" s="16"/>
      <c r="K89" s="16"/>
      <c r="L89" s="1"/>
    </row>
    <row r="90" spans="1:12" x14ac:dyDescent="0.25">
      <c r="A90" s="15"/>
      <c r="B90" s="16"/>
      <c r="C90" s="16"/>
      <c r="D90" s="27"/>
      <c r="E90" s="16"/>
      <c r="F90" s="16"/>
      <c r="G90" s="16"/>
      <c r="H90" s="16"/>
      <c r="I90" s="16"/>
      <c r="J90" s="16"/>
      <c r="K90" s="16"/>
      <c r="L90" s="1"/>
    </row>
    <row r="91" spans="1:12" x14ac:dyDescent="0.25">
      <c r="A91" s="15"/>
      <c r="B91" s="16"/>
      <c r="C91" s="16"/>
      <c r="D91" s="27"/>
      <c r="E91" s="16"/>
      <c r="F91" s="16"/>
      <c r="G91" s="16"/>
      <c r="H91" s="16"/>
      <c r="I91" s="16"/>
      <c r="J91" s="16"/>
      <c r="K91" s="16"/>
      <c r="L91" s="1"/>
    </row>
    <row r="92" spans="1:12" x14ac:dyDescent="0.25">
      <c r="A92" s="15"/>
      <c r="B92" s="16"/>
      <c r="C92" s="16"/>
      <c r="D92" s="16"/>
      <c r="E92" s="16"/>
      <c r="F92" s="16"/>
      <c r="G92" s="16"/>
      <c r="H92" s="16"/>
      <c r="I92" s="16"/>
      <c r="J92" s="16"/>
      <c r="K92" s="16"/>
      <c r="L92" s="1"/>
    </row>
    <row r="93" spans="1:12" x14ac:dyDescent="0.25">
      <c r="A93" s="15"/>
      <c r="D93" s="16"/>
      <c r="E93" s="16"/>
      <c r="F93" s="16"/>
      <c r="G93" s="16"/>
      <c r="H93" s="16"/>
      <c r="I93" s="16"/>
      <c r="J93" s="16"/>
      <c r="K93" s="16"/>
      <c r="L93" s="1"/>
    </row>
    <row r="94" spans="1:12" x14ac:dyDescent="0.25">
      <c r="A94" s="15"/>
      <c r="D94" s="16"/>
      <c r="E94" s="16"/>
      <c r="F94" s="16"/>
      <c r="G94" s="16"/>
      <c r="H94" s="16"/>
      <c r="I94" s="16"/>
      <c r="J94" s="16"/>
      <c r="K94" s="16"/>
      <c r="L94" s="1"/>
    </row>
    <row r="95" spans="1:12" x14ac:dyDescent="0.25">
      <c r="A95" s="99"/>
      <c r="B95" s="100"/>
      <c r="C95" s="100"/>
      <c r="D95" s="100"/>
      <c r="E95" s="100"/>
      <c r="F95" s="100"/>
      <c r="G95" s="100"/>
      <c r="H95" s="100"/>
      <c r="I95" s="101" t="s">
        <v>43</v>
      </c>
      <c r="J95" s="155" t="str">
        <f ca="1">MID(CELL("filename",A1),FIND("[",CELL("filename",A1))+1,SUM(FIND({"[";"]"},CELL("filename",A1))*{-1;1})-1)</f>
        <v>calcul-de-hertz-V3.xlsx</v>
      </c>
      <c r="K95" s="155"/>
      <c r="L95" s="102"/>
    </row>
    <row r="96" spans="1:12" x14ac:dyDescent="0.25">
      <c r="A96" s="99"/>
      <c r="B96" s="100"/>
      <c r="C96" s="100"/>
      <c r="D96" s="100"/>
      <c r="E96" s="100"/>
      <c r="F96" s="100"/>
      <c r="G96" s="100"/>
      <c r="H96" s="100"/>
      <c r="I96" s="101" t="s">
        <v>44</v>
      </c>
      <c r="J96" s="156">
        <f>GENERAL!L45</f>
        <v>42515</v>
      </c>
      <c r="K96" s="156"/>
      <c r="L96" s="102"/>
    </row>
    <row r="97" spans="1:22" ht="13.8" thickBot="1" x14ac:dyDescent="0.3">
      <c r="A97" s="148" t="s">
        <v>42</v>
      </c>
      <c r="B97" s="149"/>
      <c r="C97" s="149"/>
      <c r="D97" s="149"/>
      <c r="E97" s="149"/>
      <c r="F97" s="149"/>
      <c r="G97" s="149"/>
      <c r="H97" s="149"/>
      <c r="I97" s="149"/>
      <c r="J97" s="149"/>
      <c r="K97" s="149"/>
      <c r="L97" s="150"/>
    </row>
    <row r="100" spans="1:22" ht="13.8" thickBot="1" x14ac:dyDescent="0.3"/>
    <row r="101" spans="1:22" x14ac:dyDescent="0.25">
      <c r="C101" s="153" t="s">
        <v>24</v>
      </c>
      <c r="D101" s="161"/>
      <c r="E101" s="153" t="s">
        <v>73</v>
      </c>
      <c r="F101" s="154"/>
      <c r="G101" s="154"/>
      <c r="H101" s="154"/>
      <c r="I101" s="154"/>
      <c r="J101" s="154"/>
      <c r="K101" s="154"/>
      <c r="L101" s="154"/>
      <c r="M101" s="151" t="s">
        <v>74</v>
      </c>
      <c r="N101" s="151"/>
      <c r="O101" s="151"/>
      <c r="P101" s="151"/>
      <c r="Q101" s="151"/>
      <c r="R101" s="151"/>
      <c r="S101" s="151"/>
      <c r="T101" s="151"/>
      <c r="U101" s="151"/>
      <c r="V101" s="152"/>
    </row>
    <row r="102" spans="1:22" ht="15.6" x14ac:dyDescent="0.35">
      <c r="C102" s="118" t="s">
        <v>40</v>
      </c>
      <c r="D102" s="119" t="s">
        <v>39</v>
      </c>
      <c r="E102" s="120" t="s">
        <v>69</v>
      </c>
      <c r="F102" s="120" t="s">
        <v>70</v>
      </c>
      <c r="G102" s="120" t="s">
        <v>71</v>
      </c>
      <c r="H102" s="120" t="s">
        <v>72</v>
      </c>
      <c r="I102" s="120" t="s">
        <v>31</v>
      </c>
      <c r="J102" s="120" t="s">
        <v>32</v>
      </c>
      <c r="K102" s="120" t="s">
        <v>33</v>
      </c>
      <c r="L102" s="120" t="s">
        <v>34</v>
      </c>
      <c r="M102" s="120" t="s">
        <v>69</v>
      </c>
      <c r="N102" s="120" t="s">
        <v>70</v>
      </c>
      <c r="O102" s="120" t="s">
        <v>71</v>
      </c>
      <c r="P102" s="120" t="s">
        <v>72</v>
      </c>
      <c r="Q102" s="120" t="s">
        <v>31</v>
      </c>
      <c r="R102" s="120" t="s">
        <v>32</v>
      </c>
      <c r="S102" s="120" t="s">
        <v>33</v>
      </c>
      <c r="T102" s="120" t="s">
        <v>34</v>
      </c>
      <c r="U102" s="120" t="s">
        <v>25</v>
      </c>
      <c r="V102" s="119" t="s">
        <v>28</v>
      </c>
    </row>
    <row r="103" spans="1:22" x14ac:dyDescent="0.25">
      <c r="C103" s="121">
        <f t="shared" ref="C103:C132" si="0">$C$48*SQRT(1-(D103^2/$C$47^2))</f>
        <v>479.08207028459697</v>
      </c>
      <c r="D103" s="122">
        <v>0</v>
      </c>
      <c r="E103" s="123">
        <f>-((1+2*C41)/2)*C48</f>
        <v>-383.2656562276776</v>
      </c>
      <c r="F103" s="123">
        <f>-E103/$C$48</f>
        <v>0.8</v>
      </c>
      <c r="G103" s="123">
        <f>$C$60</f>
        <v>-383.2656562276776</v>
      </c>
      <c r="H103" s="124">
        <f>-G103/$C$48</f>
        <v>0.8</v>
      </c>
      <c r="I103" s="123">
        <f>-((1-(D103^2/$C$47^2))^(1/2))*$C$48</f>
        <v>-479.08207028459697</v>
      </c>
      <c r="J103" s="124">
        <f>-I103/$C$48</f>
        <v>1</v>
      </c>
      <c r="K103" s="123">
        <f>0.5*(I103-E103)</f>
        <v>-47.908207028459685</v>
      </c>
      <c r="L103" s="124">
        <f>-K103/$C$48</f>
        <v>9.9999999999999978E-2</v>
      </c>
      <c r="M103" s="125">
        <f>C60</f>
        <v>-383.2656562276776</v>
      </c>
      <c r="N103" s="123">
        <f>-M103/$C$48</f>
        <v>0.8</v>
      </c>
      <c r="O103" s="123">
        <f>$C$61</f>
        <v>-383.2656562276776</v>
      </c>
      <c r="P103" s="124">
        <f>-O103/$C$48</f>
        <v>0.8</v>
      </c>
      <c r="Q103" s="123">
        <f>(-1/(1+(U103/$C$47)^2))*$C$48</f>
        <v>-479.08207028459697</v>
      </c>
      <c r="R103" s="124">
        <f>-Q103/$C$48</f>
        <v>1</v>
      </c>
      <c r="S103" s="123">
        <f>0.5*(Q103-M103)</f>
        <v>-47.908207028459685</v>
      </c>
      <c r="T103" s="124">
        <f>-S103/$C$48</f>
        <v>9.9999999999999978E-2</v>
      </c>
      <c r="U103" s="124">
        <v>0</v>
      </c>
      <c r="V103" s="122">
        <f>-U103/$C$47</f>
        <v>0</v>
      </c>
    </row>
    <row r="104" spans="1:22" x14ac:dyDescent="0.25">
      <c r="C104" s="121">
        <f t="shared" si="0"/>
        <v>478.60046751541057</v>
      </c>
      <c r="D104" s="122">
        <f>D103+($D$132-$D$103)/29</f>
        <v>8.3723063457140076E-2</v>
      </c>
      <c r="E104" s="123">
        <f t="shared" ref="E104:E132" si="1">(((1-2*$C$41)/3)*($C$47^2/D104^2)*(1-(1-(D104^2/$C$47^2))^(3/2))-(1-(D104^2/$C$47^2))^(1/2))*$C$48</f>
        <v>-382.83220566240828</v>
      </c>
      <c r="F104" s="123">
        <f t="shared" ref="F104:F132" si="2">-E104/$C$48</f>
        <v>0.79909524778288654</v>
      </c>
      <c r="G104" s="123">
        <f t="shared" ref="G104:G132" si="3">(-((1-2*$C$41)/3)*($C$47^2/D104^2)*(1-(1-(D104^2/$C$47^2))^(3/2))-2*$C$41*(1-(D104^2/$C$47^2))^(1/2))*$C$48</f>
        <v>-382.92854236224866</v>
      </c>
      <c r="H104" s="124">
        <f t="shared" ref="H104:H132" si="4">-G104/$C$48</f>
        <v>0.79929633378842868</v>
      </c>
      <c r="I104" s="123">
        <f t="shared" ref="I104:I132" si="5">-((1-(D104^2/$C$47^2))^(1/2))*$C$48</f>
        <v>-478.60046751541057</v>
      </c>
      <c r="J104" s="124">
        <f t="shared" ref="J104:J132" si="6">-I104/$C$48</f>
        <v>0.99899473848207199</v>
      </c>
      <c r="K104" s="123">
        <f t="shared" ref="K104:K132" si="7">0.5*(I104-E104)</f>
        <v>-47.884130926501143</v>
      </c>
      <c r="L104" s="124">
        <f t="shared" ref="L104:L132" si="8">-K104/$C$48</f>
        <v>9.9949745349592709E-2</v>
      </c>
      <c r="M104" s="125">
        <f t="shared" ref="M104:M132" si="9">(-(1+$C$41)*(1-(U104/$C$47)*ATAN($C$47/U104))+(1/2)*1/(1+(U104/$C$47)^2))*$C$48</f>
        <v>-239.84160089891552</v>
      </c>
      <c r="N104" s="123">
        <f t="shared" ref="N104:N132" si="10">-M104/$C$48</f>
        <v>0.50062737842899963</v>
      </c>
      <c r="O104" s="123">
        <f t="shared" ref="O104:O132" si="11">(-(1+$C$41)*(1-(U104/$C$47)*ATAN($C$47/U104))+(1/2)*1/(1+(U104/$C$47)^2))*$C$48</f>
        <v>-239.84160089891552</v>
      </c>
      <c r="P104" s="124">
        <f t="shared" ref="P104:P132" si="12">-O104/$C$48</f>
        <v>0.50062737842899963</v>
      </c>
      <c r="Q104" s="123">
        <f t="shared" ref="Q104:Q132" si="13">(-1/(1+(U104/$C$47)^2))*$C$48</f>
        <v>-465.25175647730498</v>
      </c>
      <c r="R104" s="124">
        <f t="shared" ref="R104:R132" si="14">-Q104/$C$48</f>
        <v>0.97113163972286387</v>
      </c>
      <c r="S104" s="123">
        <f t="shared" ref="S104:S132" si="15">0.5*(Q104-M104)</f>
        <v>-112.70507778919473</v>
      </c>
      <c r="T104" s="124">
        <f t="shared" ref="T104:T132" si="16">-S104/$C$48</f>
        <v>0.23525213064693215</v>
      </c>
      <c r="U104" s="124">
        <f>U103+($U$132-$U$103)/29</f>
        <v>0.32201178252746177</v>
      </c>
      <c r="V104" s="122">
        <f t="shared" ref="V104:V132" si="17">-U104/$C$47</f>
        <v>-0.17241379310344826</v>
      </c>
    </row>
    <row r="105" spans="1:22" x14ac:dyDescent="0.25">
      <c r="C105" s="121">
        <f t="shared" si="0"/>
        <v>477.15274265097923</v>
      </c>
      <c r="D105" s="122">
        <f t="shared" ref="D105:D131" si="18">D104+($D$132-$D$103)/29</f>
        <v>0.16744612691428015</v>
      </c>
      <c r="E105" s="123">
        <f t="shared" si="1"/>
        <v>-381.52913160180464</v>
      </c>
      <c r="F105" s="123">
        <f t="shared" si="2"/>
        <v>0.79637530867134865</v>
      </c>
      <c r="G105" s="123">
        <f t="shared" si="3"/>
        <v>-381.91525663976211</v>
      </c>
      <c r="H105" s="124">
        <f t="shared" si="4"/>
        <v>0.79718127713042308</v>
      </c>
      <c r="I105" s="123">
        <f t="shared" si="5"/>
        <v>-477.15274265097923</v>
      </c>
      <c r="J105" s="124">
        <f t="shared" si="6"/>
        <v>0.99597286612610736</v>
      </c>
      <c r="K105" s="123">
        <f t="shared" si="7"/>
        <v>-47.811805524587299</v>
      </c>
      <c r="L105" s="124">
        <f t="shared" si="8"/>
        <v>9.9798778727379356E-2</v>
      </c>
      <c r="M105" s="125">
        <f t="shared" si="9"/>
        <v>-142.68938669967139</v>
      </c>
      <c r="N105" s="123">
        <f t="shared" si="10"/>
        <v>0.29783912934772799</v>
      </c>
      <c r="O105" s="123">
        <f t="shared" si="11"/>
        <v>-142.68938669967139</v>
      </c>
      <c r="P105" s="124">
        <f t="shared" si="12"/>
        <v>0.29783912934772799</v>
      </c>
      <c r="Q105" s="123">
        <f t="shared" si="13"/>
        <v>-428.170054313864</v>
      </c>
      <c r="R105" s="124">
        <f t="shared" si="14"/>
        <v>0.89373007438894791</v>
      </c>
      <c r="S105" s="123">
        <f t="shared" si="15"/>
        <v>-142.74033380709631</v>
      </c>
      <c r="T105" s="124">
        <f t="shared" si="16"/>
        <v>0.29794547252060993</v>
      </c>
      <c r="U105" s="124">
        <f t="shared" ref="U105:U131" si="19">U104+($U$132-$U$103)/29</f>
        <v>0.64402356505492353</v>
      </c>
      <c r="V105" s="122">
        <f t="shared" si="17"/>
        <v>-0.34482758620689652</v>
      </c>
    </row>
    <row r="106" spans="1:22" x14ac:dyDescent="0.25">
      <c r="C106" s="121">
        <f t="shared" si="0"/>
        <v>474.7300569885183</v>
      </c>
      <c r="D106" s="122">
        <f t="shared" si="18"/>
        <v>0.25116919037142021</v>
      </c>
      <c r="E106" s="123">
        <f t="shared" si="1"/>
        <v>-379.34818235518497</v>
      </c>
      <c r="F106" s="123">
        <f t="shared" si="2"/>
        <v>0.79182295870483022</v>
      </c>
      <c r="G106" s="123">
        <f t="shared" si="3"/>
        <v>-380.21990882644428</v>
      </c>
      <c r="H106" s="124">
        <f t="shared" si="4"/>
        <v>0.79364253519355465</v>
      </c>
      <c r="I106" s="123">
        <f t="shared" si="5"/>
        <v>-474.7300569885183</v>
      </c>
      <c r="J106" s="124">
        <f t="shared" si="6"/>
        <v>0.99091593368649056</v>
      </c>
      <c r="K106" s="123">
        <f t="shared" si="7"/>
        <v>-47.690937316666663</v>
      </c>
      <c r="L106" s="124">
        <f t="shared" si="8"/>
        <v>9.9546487490830185E-2</v>
      </c>
      <c r="M106" s="125">
        <f t="shared" si="9"/>
        <v>-81.579633779157902</v>
      </c>
      <c r="N106" s="123">
        <f t="shared" si="10"/>
        <v>0.17028321208242214</v>
      </c>
      <c r="O106" s="123">
        <f t="shared" si="11"/>
        <v>-81.579633779157902</v>
      </c>
      <c r="P106" s="124">
        <f t="shared" si="12"/>
        <v>0.17028321208242214</v>
      </c>
      <c r="Q106" s="123">
        <f t="shared" si="13"/>
        <v>-377.96249635023077</v>
      </c>
      <c r="R106" s="124">
        <f t="shared" si="14"/>
        <v>0.78893058161350837</v>
      </c>
      <c r="S106" s="123">
        <f t="shared" si="15"/>
        <v>-148.19143128553642</v>
      </c>
      <c r="T106" s="124">
        <f t="shared" si="16"/>
        <v>0.30932368476554306</v>
      </c>
      <c r="U106" s="124">
        <f t="shared" si="19"/>
        <v>0.9660353475823853</v>
      </c>
      <c r="V106" s="122">
        <f t="shared" si="17"/>
        <v>-0.51724137931034486</v>
      </c>
    </row>
    <row r="107" spans="1:22" x14ac:dyDescent="0.25">
      <c r="C107" s="121">
        <f t="shared" si="0"/>
        <v>471.31737616268731</v>
      </c>
      <c r="D107" s="122">
        <f t="shared" si="18"/>
        <v>0.3348922538285603</v>
      </c>
      <c r="E107" s="123">
        <f t="shared" si="1"/>
        <v>-376.27531695181403</v>
      </c>
      <c r="F107" s="123">
        <f t="shared" si="2"/>
        <v>0.78540888981357426</v>
      </c>
      <c r="G107" s="123">
        <f t="shared" si="3"/>
        <v>-377.8324849084857</v>
      </c>
      <c r="H107" s="124">
        <f t="shared" si="4"/>
        <v>0.78865920547607982</v>
      </c>
      <c r="I107" s="123">
        <f t="shared" si="5"/>
        <v>-471.31737616268731</v>
      </c>
      <c r="J107" s="124">
        <f t="shared" si="6"/>
        <v>0.98379255955603373</v>
      </c>
      <c r="K107" s="123">
        <f t="shared" si="7"/>
        <v>-47.521029605436638</v>
      </c>
      <c r="L107" s="124">
        <f t="shared" si="8"/>
        <v>9.9191834871229775E-2</v>
      </c>
      <c r="M107" s="125">
        <f t="shared" si="9"/>
        <v>-45.106872977964294</v>
      </c>
      <c r="N107" s="123">
        <f t="shared" si="10"/>
        <v>9.4152705299884676E-2</v>
      </c>
      <c r="O107" s="123">
        <f t="shared" si="11"/>
        <v>-45.106872977964294</v>
      </c>
      <c r="P107" s="124">
        <f t="shared" si="12"/>
        <v>9.4152705299884676E-2</v>
      </c>
      <c r="Q107" s="123">
        <f t="shared" si="13"/>
        <v>-324.66399767070595</v>
      </c>
      <c r="R107" s="124">
        <f t="shared" si="14"/>
        <v>0.67767929089444001</v>
      </c>
      <c r="S107" s="123">
        <f t="shared" si="15"/>
        <v>-139.77856234637082</v>
      </c>
      <c r="T107" s="124">
        <f t="shared" si="16"/>
        <v>0.29176329279727764</v>
      </c>
      <c r="U107" s="124">
        <f t="shared" si="19"/>
        <v>1.2880471301098471</v>
      </c>
      <c r="V107" s="122">
        <f t="shared" si="17"/>
        <v>-0.68965517241379304</v>
      </c>
    </row>
    <row r="108" spans="1:22" x14ac:dyDescent="0.25">
      <c r="C108" s="121">
        <f t="shared" si="0"/>
        <v>466.8929920367475</v>
      </c>
      <c r="D108" s="122">
        <f t="shared" si="18"/>
        <v>0.41861531728570039</v>
      </c>
      <c r="E108" s="123">
        <f t="shared" si="1"/>
        <v>-372.29025051408405</v>
      </c>
      <c r="F108" s="123">
        <f t="shared" si="2"/>
        <v>0.77709076086468098</v>
      </c>
      <c r="G108" s="123">
        <f t="shared" si="3"/>
        <v>-374.73853674471189</v>
      </c>
      <c r="H108" s="124">
        <f t="shared" si="4"/>
        <v>0.78220113001118963</v>
      </c>
      <c r="I108" s="123">
        <f t="shared" si="5"/>
        <v>-466.8929920367475</v>
      </c>
      <c r="J108" s="124">
        <f t="shared" si="6"/>
        <v>0.97455743179741916</v>
      </c>
      <c r="K108" s="123">
        <f t="shared" si="7"/>
        <v>-47.301370761331725</v>
      </c>
      <c r="L108" s="124">
        <f t="shared" si="8"/>
        <v>9.8733335466369088E-2</v>
      </c>
      <c r="M108" s="125">
        <f t="shared" si="9"/>
        <v>-24.009084652524521</v>
      </c>
      <c r="N108" s="123">
        <f t="shared" si="10"/>
        <v>5.0114763506515725E-2</v>
      </c>
      <c r="O108" s="123">
        <f t="shared" si="11"/>
        <v>-24.009084652524521</v>
      </c>
      <c r="P108" s="124">
        <f t="shared" si="12"/>
        <v>5.0114763506515725E-2</v>
      </c>
      <c r="Q108" s="123">
        <f t="shared" si="13"/>
        <v>-274.83493936517471</v>
      </c>
      <c r="R108" s="124">
        <f t="shared" si="14"/>
        <v>0.57366984993178727</v>
      </c>
      <c r="S108" s="123">
        <f t="shared" si="15"/>
        <v>-125.4129273563251</v>
      </c>
      <c r="T108" s="124">
        <f t="shared" si="16"/>
        <v>0.2617775432126358</v>
      </c>
      <c r="U108" s="124">
        <f t="shared" si="19"/>
        <v>1.6100589126373088</v>
      </c>
      <c r="V108" s="122">
        <f t="shared" si="17"/>
        <v>-0.86206896551724133</v>
      </c>
    </row>
    <row r="109" spans="1:22" x14ac:dyDescent="0.25">
      <c r="C109" s="121">
        <f t="shared" si="0"/>
        <v>461.42780348474963</v>
      </c>
      <c r="D109" s="122">
        <f t="shared" si="18"/>
        <v>0.50233838074284043</v>
      </c>
      <c r="E109" s="123">
        <f t="shared" si="1"/>
        <v>-367.36576986063449</v>
      </c>
      <c r="F109" s="123">
        <f t="shared" si="2"/>
        <v>0.76681176910336513</v>
      </c>
      <c r="G109" s="123">
        <f t="shared" si="3"/>
        <v>-370.918715714965</v>
      </c>
      <c r="H109" s="124">
        <f t="shared" si="4"/>
        <v>0.77422792193960022</v>
      </c>
      <c r="I109" s="123">
        <f t="shared" si="5"/>
        <v>-461.42780348474963</v>
      </c>
      <c r="J109" s="124">
        <f t="shared" si="6"/>
        <v>0.96314980690185326</v>
      </c>
      <c r="K109" s="123">
        <f t="shared" si="7"/>
        <v>-47.031016812057572</v>
      </c>
      <c r="L109" s="124">
        <f t="shared" si="8"/>
        <v>9.8169018899244065E-2</v>
      </c>
      <c r="M109" s="125">
        <f t="shared" si="9"/>
        <v>-11.9955116302955</v>
      </c>
      <c r="N109" s="123">
        <f t="shared" si="10"/>
        <v>2.503853175546647E-2</v>
      </c>
      <c r="O109" s="123">
        <f t="shared" si="11"/>
        <v>-11.9955116302955</v>
      </c>
      <c r="P109" s="124">
        <f t="shared" si="12"/>
        <v>2.503853175546647E-2</v>
      </c>
      <c r="Q109" s="123">
        <f t="shared" si="13"/>
        <v>-231.42333205591385</v>
      </c>
      <c r="R109" s="124">
        <f t="shared" si="14"/>
        <v>0.48305571510626072</v>
      </c>
      <c r="S109" s="123">
        <f t="shared" si="15"/>
        <v>-109.71391021280917</v>
      </c>
      <c r="T109" s="124">
        <f t="shared" si="16"/>
        <v>0.22900859167539711</v>
      </c>
      <c r="U109" s="124">
        <f t="shared" si="19"/>
        <v>1.9320706951647706</v>
      </c>
      <c r="V109" s="122">
        <f t="shared" si="17"/>
        <v>-1.0344827586206897</v>
      </c>
    </row>
    <row r="110" spans="1:22" x14ac:dyDescent="0.25">
      <c r="C110" s="121">
        <f t="shared" si="0"/>
        <v>454.88429794848184</v>
      </c>
      <c r="D110" s="122">
        <f t="shared" si="18"/>
        <v>0.58606144419998052</v>
      </c>
      <c r="E110" s="123">
        <f t="shared" si="1"/>
        <v>-361.46676343528037</v>
      </c>
      <c r="F110" s="123">
        <f t="shared" si="2"/>
        <v>0.75449862529931944</v>
      </c>
      <c r="G110" s="123">
        <f t="shared" si="3"/>
        <v>-366.34811328229051</v>
      </c>
      <c r="H110" s="124">
        <f t="shared" si="4"/>
        <v>0.76468758904849587</v>
      </c>
      <c r="I110" s="123">
        <f t="shared" si="5"/>
        <v>-454.88429794848184</v>
      </c>
      <c r="J110" s="124">
        <f t="shared" si="6"/>
        <v>0.94949138396738475</v>
      </c>
      <c r="K110" s="123">
        <f t="shared" si="7"/>
        <v>-46.708767256600737</v>
      </c>
      <c r="L110" s="124">
        <f t="shared" si="8"/>
        <v>9.7496379334032601E-2</v>
      </c>
      <c r="M110" s="125">
        <f t="shared" si="9"/>
        <v>-5.2056160699700396</v>
      </c>
      <c r="N110" s="123">
        <f t="shared" si="10"/>
        <v>1.086581275495796E-2</v>
      </c>
      <c r="O110" s="123">
        <f t="shared" si="11"/>
        <v>-5.2056160699700396</v>
      </c>
      <c r="P110" s="124">
        <f t="shared" si="12"/>
        <v>1.086581275495796E-2</v>
      </c>
      <c r="Q110" s="123">
        <f t="shared" si="13"/>
        <v>-195.01840324750538</v>
      </c>
      <c r="R110" s="124">
        <f t="shared" si="14"/>
        <v>0.40706679574056154</v>
      </c>
      <c r="S110" s="123">
        <f t="shared" si="15"/>
        <v>-94.906393588767671</v>
      </c>
      <c r="T110" s="124">
        <f t="shared" si="16"/>
        <v>0.19810049149280179</v>
      </c>
      <c r="U110" s="124">
        <f t="shared" si="19"/>
        <v>2.2540824776922324</v>
      </c>
      <c r="V110" s="122">
        <f t="shared" si="17"/>
        <v>-1.2068965517241379</v>
      </c>
    </row>
    <row r="111" spans="1:22" x14ac:dyDescent="0.25">
      <c r="C111" s="121">
        <f t="shared" si="0"/>
        <v>447.21514518964329</v>
      </c>
      <c r="D111" s="122">
        <f t="shared" si="18"/>
        <v>0.66978450765712061</v>
      </c>
      <c r="E111" s="123">
        <f t="shared" si="1"/>
        <v>-354.54888026290774</v>
      </c>
      <c r="F111" s="123">
        <f t="shared" si="2"/>
        <v>0.74005875455178116</v>
      </c>
      <c r="G111" s="123">
        <f t="shared" si="3"/>
        <v>-360.99535204052148</v>
      </c>
      <c r="H111" s="124">
        <f t="shared" si="4"/>
        <v>0.7535146364923937</v>
      </c>
      <c r="I111" s="123">
        <f t="shared" si="5"/>
        <v>-447.21514518964329</v>
      </c>
      <c r="J111" s="124">
        <f t="shared" si="6"/>
        <v>0.93348336940260934</v>
      </c>
      <c r="K111" s="123">
        <f t="shared" si="7"/>
        <v>-46.333132463367775</v>
      </c>
      <c r="L111" s="124">
        <f t="shared" si="8"/>
        <v>9.6712307425414076E-2</v>
      </c>
      <c r="M111" s="125">
        <f t="shared" si="9"/>
        <v>-1.3922375643415421</v>
      </c>
      <c r="N111" s="123">
        <f t="shared" si="10"/>
        <v>2.9060523252612824E-3</v>
      </c>
      <c r="O111" s="123">
        <f t="shared" si="11"/>
        <v>-1.3922375643415421</v>
      </c>
      <c r="P111" s="124">
        <f t="shared" si="12"/>
        <v>2.9060523252612824E-3</v>
      </c>
      <c r="Q111" s="123">
        <f t="shared" si="13"/>
        <v>-165.0585911959632</v>
      </c>
      <c r="R111" s="124">
        <f t="shared" si="14"/>
        <v>0.34453092994674323</v>
      </c>
      <c r="S111" s="123">
        <f t="shared" si="15"/>
        <v>-81.83317681581083</v>
      </c>
      <c r="T111" s="124">
        <f t="shared" si="16"/>
        <v>0.17081243881074099</v>
      </c>
      <c r="U111" s="124">
        <f t="shared" si="19"/>
        <v>2.5760942602196941</v>
      </c>
      <c r="V111" s="122">
        <f t="shared" si="17"/>
        <v>-1.3793103448275861</v>
      </c>
    </row>
    <row r="112" spans="1:22" x14ac:dyDescent="0.25">
      <c r="C112" s="121">
        <f t="shared" si="0"/>
        <v>438.36126942225667</v>
      </c>
      <c r="D112" s="122">
        <f t="shared" si="18"/>
        <v>0.7535075711142607</v>
      </c>
      <c r="E112" s="123">
        <f t="shared" si="1"/>
        <v>-346.55668891095473</v>
      </c>
      <c r="F112" s="123">
        <f t="shared" si="2"/>
        <v>0.72337645344373669</v>
      </c>
      <c r="G112" s="123">
        <f t="shared" si="3"/>
        <v>-354.8213421646559</v>
      </c>
      <c r="H112" s="124">
        <f t="shared" si="4"/>
        <v>0.74062747110088167</v>
      </c>
      <c r="I112" s="123">
        <f t="shared" si="5"/>
        <v>-438.36126942225667</v>
      </c>
      <c r="J112" s="124">
        <f t="shared" si="6"/>
        <v>0.9150024528403865</v>
      </c>
      <c r="K112" s="123">
        <f t="shared" si="7"/>
        <v>-45.902290255650968</v>
      </c>
      <c r="L112" s="124">
        <f t="shared" si="8"/>
        <v>9.5812999698324922E-2</v>
      </c>
      <c r="M112" s="125">
        <f t="shared" si="9"/>
        <v>0.72331423244620108</v>
      </c>
      <c r="N112" s="123">
        <f t="shared" si="10"/>
        <v>-1.5097919068783328E-3</v>
      </c>
      <c r="O112" s="123">
        <f t="shared" si="11"/>
        <v>0.72331423244620108</v>
      </c>
      <c r="P112" s="124">
        <f t="shared" si="12"/>
        <v>-1.5097919068783328E-3</v>
      </c>
      <c r="Q112" s="123">
        <f t="shared" si="13"/>
        <v>-140.58200317841801</v>
      </c>
      <c r="R112" s="124">
        <f t="shared" si="14"/>
        <v>0.29344033496161898</v>
      </c>
      <c r="S112" s="123">
        <f t="shared" si="15"/>
        <v>-70.652658705432103</v>
      </c>
      <c r="T112" s="124">
        <f t="shared" si="16"/>
        <v>0.14747506343424863</v>
      </c>
      <c r="U112" s="124">
        <f t="shared" si="19"/>
        <v>2.8981060427471559</v>
      </c>
      <c r="V112" s="122">
        <f t="shared" si="17"/>
        <v>-1.5517241379310345</v>
      </c>
    </row>
    <row r="113" spans="3:22" x14ac:dyDescent="0.25">
      <c r="C113" s="121">
        <f t="shared" si="0"/>
        <v>428.2491959683976</v>
      </c>
      <c r="D113" s="122">
        <f t="shared" si="18"/>
        <v>0.83723063457140079</v>
      </c>
      <c r="E113" s="123">
        <f t="shared" si="1"/>
        <v>-337.42113962237556</v>
      </c>
      <c r="F113" s="123">
        <f t="shared" si="2"/>
        <v>0.70430759268851739</v>
      </c>
      <c r="G113" s="123">
        <f t="shared" si="3"/>
        <v>-347.77757392706053</v>
      </c>
      <c r="H113" s="124">
        <f t="shared" si="4"/>
        <v>0.72592483730494139</v>
      </c>
      <c r="I113" s="123">
        <f t="shared" si="5"/>
        <v>-428.2491959683976</v>
      </c>
      <c r="J113" s="124">
        <f t="shared" si="6"/>
        <v>0.89389526874591174</v>
      </c>
      <c r="K113" s="123">
        <f t="shared" si="7"/>
        <v>-45.414028173011019</v>
      </c>
      <c r="L113" s="124">
        <f t="shared" si="8"/>
        <v>9.4793838028697217E-2</v>
      </c>
      <c r="M113" s="125">
        <f t="shared" si="9"/>
        <v>1.865143881567817</v>
      </c>
      <c r="N113" s="123">
        <f t="shared" si="10"/>
        <v>-3.8931615212813853E-3</v>
      </c>
      <c r="O113" s="123">
        <f t="shared" si="11"/>
        <v>1.865143881567817</v>
      </c>
      <c r="P113" s="124">
        <f t="shared" si="12"/>
        <v>-3.8931615212813853E-3</v>
      </c>
      <c r="Q113" s="123">
        <f t="shared" si="13"/>
        <v>-120.59503774598807</v>
      </c>
      <c r="R113" s="124">
        <f t="shared" si="14"/>
        <v>0.25172104160431014</v>
      </c>
      <c r="S113" s="123">
        <f t="shared" si="15"/>
        <v>-61.230090813777942</v>
      </c>
      <c r="T113" s="124">
        <f t="shared" si="16"/>
        <v>0.12780710156279576</v>
      </c>
      <c r="U113" s="124">
        <f t="shared" si="19"/>
        <v>3.2201178252746177</v>
      </c>
      <c r="V113" s="122">
        <f t="shared" si="17"/>
        <v>-1.7241379310344827</v>
      </c>
    </row>
    <row r="114" spans="3:22" x14ac:dyDescent="0.25">
      <c r="C114" s="121">
        <f t="shared" si="0"/>
        <v>416.78735590376743</v>
      </c>
      <c r="D114" s="122">
        <f t="shared" si="18"/>
        <v>0.92095369802854088</v>
      </c>
      <c r="E114" s="123">
        <f t="shared" si="1"/>
        <v>-327.0560235138941</v>
      </c>
      <c r="F114" s="123">
        <f t="shared" si="2"/>
        <v>0.68267222632566416</v>
      </c>
      <c r="G114" s="123">
        <f t="shared" si="3"/>
        <v>-339.80374593213378</v>
      </c>
      <c r="H114" s="124">
        <f t="shared" si="4"/>
        <v>0.70928086649177791</v>
      </c>
      <c r="I114" s="123">
        <f t="shared" si="5"/>
        <v>-416.78735590376743</v>
      </c>
      <c r="J114" s="124">
        <f t="shared" si="6"/>
        <v>0.8699706830109013</v>
      </c>
      <c r="K114" s="123">
        <f t="shared" si="7"/>
        <v>-44.865666194936665</v>
      </c>
      <c r="L114" s="124">
        <f t="shared" si="8"/>
        <v>9.3649228342618587E-2</v>
      </c>
      <c r="M114" s="125">
        <f t="shared" si="9"/>
        <v>2.4453639469936665</v>
      </c>
      <c r="N114" s="123">
        <f t="shared" si="10"/>
        <v>-5.1042693907142195E-3</v>
      </c>
      <c r="O114" s="123">
        <f t="shared" si="11"/>
        <v>2.4453639469936665</v>
      </c>
      <c r="P114" s="124">
        <f t="shared" si="12"/>
        <v>-5.1042693907142195E-3</v>
      </c>
      <c r="Q114" s="123">
        <f t="shared" si="13"/>
        <v>-104.21831896258304</v>
      </c>
      <c r="R114" s="124">
        <f t="shared" si="14"/>
        <v>0.21753750646663217</v>
      </c>
      <c r="S114" s="123">
        <f t="shared" si="15"/>
        <v>-53.331841454788353</v>
      </c>
      <c r="T114" s="124">
        <f t="shared" si="16"/>
        <v>0.1113208879286732</v>
      </c>
      <c r="U114" s="124">
        <f t="shared" si="19"/>
        <v>3.5421296078020794</v>
      </c>
      <c r="V114" s="122">
        <f t="shared" si="17"/>
        <v>-1.896551724137931</v>
      </c>
    </row>
    <row r="115" spans="3:22" x14ac:dyDescent="0.25">
      <c r="C115" s="121">
        <f t="shared" si="0"/>
        <v>403.8608437451154</v>
      </c>
      <c r="D115" s="122">
        <f t="shared" si="18"/>
        <v>1.0046767614856809</v>
      </c>
      <c r="E115" s="123">
        <f t="shared" si="1"/>
        <v>-315.35293970527579</v>
      </c>
      <c r="F115" s="123">
        <f t="shared" si="2"/>
        <v>0.65824408648384924</v>
      </c>
      <c r="G115" s="123">
        <f t="shared" si="3"/>
        <v>-330.82441028690886</v>
      </c>
      <c r="H115" s="124">
        <f t="shared" si="4"/>
        <v>0.69053807438542592</v>
      </c>
      <c r="I115" s="123">
        <f t="shared" si="5"/>
        <v>-403.8608437451154</v>
      </c>
      <c r="J115" s="124">
        <f t="shared" si="6"/>
        <v>0.84298885054329697</v>
      </c>
      <c r="K115" s="123">
        <f t="shared" si="7"/>
        <v>-44.253952019919808</v>
      </c>
      <c r="L115" s="124">
        <f t="shared" si="8"/>
        <v>9.2372382029723865E-2</v>
      </c>
      <c r="M115" s="125">
        <f t="shared" si="9"/>
        <v>2.7008181258121366</v>
      </c>
      <c r="N115" s="123">
        <f t="shared" si="10"/>
        <v>-5.6374852939241188E-3</v>
      </c>
      <c r="O115" s="123">
        <f t="shared" si="11"/>
        <v>2.7008181258121366</v>
      </c>
      <c r="P115" s="124">
        <f t="shared" si="12"/>
        <v>-5.6374852939241188E-3</v>
      </c>
      <c r="Q115" s="123">
        <f t="shared" si="13"/>
        <v>-90.724616327256484</v>
      </c>
      <c r="R115" s="124">
        <f t="shared" si="14"/>
        <v>0.18937176311641521</v>
      </c>
      <c r="S115" s="123">
        <f t="shared" si="15"/>
        <v>-46.712717226534309</v>
      </c>
      <c r="T115" s="124">
        <f t="shared" si="16"/>
        <v>9.7504624205169671E-2</v>
      </c>
      <c r="U115" s="124">
        <f t="shared" si="19"/>
        <v>3.8641413903295412</v>
      </c>
      <c r="V115" s="122">
        <f t="shared" si="17"/>
        <v>-2.0689655172413794</v>
      </c>
    </row>
    <row r="116" spans="3:22" x14ac:dyDescent="0.25">
      <c r="C116" s="121">
        <f t="shared" si="0"/>
        <v>389.32379461749753</v>
      </c>
      <c r="D116" s="122">
        <f t="shared" si="18"/>
        <v>1.0883998249428208</v>
      </c>
      <c r="E116" s="123">
        <f t="shared" si="1"/>
        <v>-302.17396148059328</v>
      </c>
      <c r="F116" s="123">
        <f t="shared" si="2"/>
        <v>0.6307352752756703</v>
      </c>
      <c r="G116" s="123">
        <f t="shared" si="3"/>
        <v>-320.74410990740267</v>
      </c>
      <c r="H116" s="124">
        <f t="shared" si="4"/>
        <v>0.66949721102454496</v>
      </c>
      <c r="I116" s="123">
        <f t="shared" si="5"/>
        <v>-389.32379461749753</v>
      </c>
      <c r="J116" s="124">
        <f t="shared" si="6"/>
        <v>0.81264530393763457</v>
      </c>
      <c r="K116" s="123">
        <f t="shared" si="7"/>
        <v>-43.574916568452124</v>
      </c>
      <c r="L116" s="124">
        <f t="shared" si="8"/>
        <v>9.0955014330982173E-2</v>
      </c>
      <c r="M116" s="125">
        <f t="shared" si="9"/>
        <v>2.7691569449304483</v>
      </c>
      <c r="N116" s="123">
        <f t="shared" si="10"/>
        <v>-5.7801306220569698E-3</v>
      </c>
      <c r="O116" s="123">
        <f t="shared" si="11"/>
        <v>2.7691569449304483</v>
      </c>
      <c r="P116" s="124">
        <f t="shared" si="12"/>
        <v>-5.7801306220569698E-3</v>
      </c>
      <c r="Q116" s="123">
        <f t="shared" si="13"/>
        <v>-79.53178466430046</v>
      </c>
      <c r="R116" s="124">
        <f t="shared" si="14"/>
        <v>0.16600868535333599</v>
      </c>
      <c r="S116" s="123">
        <f t="shared" si="15"/>
        <v>-41.150470804615452</v>
      </c>
      <c r="T116" s="124">
        <f t="shared" si="16"/>
        <v>8.5894407987696486E-2</v>
      </c>
      <c r="U116" s="124">
        <f t="shared" si="19"/>
        <v>4.1861531728570025</v>
      </c>
      <c r="V116" s="122">
        <f t="shared" si="17"/>
        <v>-2.2413793103448274</v>
      </c>
    </row>
    <row r="117" spans="3:22" x14ac:dyDescent="0.25">
      <c r="C117" s="121">
        <f t="shared" si="0"/>
        <v>372.98794601944763</v>
      </c>
      <c r="D117" s="122">
        <f t="shared" si="18"/>
        <v>1.1721228883999608</v>
      </c>
      <c r="E117" s="123">
        <f t="shared" si="1"/>
        <v>-287.34060642822578</v>
      </c>
      <c r="F117" s="123">
        <f t="shared" si="2"/>
        <v>0.59977324189471781</v>
      </c>
      <c r="G117" s="123">
        <f t="shared" si="3"/>
        <v>-309.44010720289043</v>
      </c>
      <c r="H117" s="124">
        <f t="shared" si="4"/>
        <v>0.64590208316305531</v>
      </c>
      <c r="I117" s="123">
        <f t="shared" si="5"/>
        <v>-372.98794601944763</v>
      </c>
      <c r="J117" s="124">
        <f t="shared" si="6"/>
        <v>0.77854707816110813</v>
      </c>
      <c r="K117" s="123">
        <f t="shared" si="7"/>
        <v>-42.823669795610925</v>
      </c>
      <c r="L117" s="124">
        <f t="shared" si="8"/>
        <v>8.9386918133195173E-2</v>
      </c>
      <c r="M117" s="125">
        <f t="shared" si="9"/>
        <v>2.7312282377488617</v>
      </c>
      <c r="N117" s="123">
        <f t="shared" si="10"/>
        <v>-5.7009610819423601E-3</v>
      </c>
      <c r="O117" s="123">
        <f t="shared" si="11"/>
        <v>2.7312282377488617</v>
      </c>
      <c r="P117" s="124">
        <f t="shared" si="12"/>
        <v>-5.7009610819423601E-3</v>
      </c>
      <c r="Q117" s="123">
        <f t="shared" si="13"/>
        <v>-70.180808414796417</v>
      </c>
      <c r="R117" s="124">
        <f t="shared" si="14"/>
        <v>0.14649015850897062</v>
      </c>
      <c r="S117" s="123">
        <f t="shared" si="15"/>
        <v>-36.456018326272641</v>
      </c>
      <c r="T117" s="124">
        <f t="shared" si="16"/>
        <v>7.6095559795456499E-2</v>
      </c>
      <c r="U117" s="124">
        <f t="shared" si="19"/>
        <v>4.5081649553844638</v>
      </c>
      <c r="V117" s="122">
        <f t="shared" si="17"/>
        <v>-2.4137931034482754</v>
      </c>
    </row>
    <row r="118" spans="3:22" x14ac:dyDescent="0.25">
      <c r="C118" s="121">
        <f t="shared" si="0"/>
        <v>354.60478503798197</v>
      </c>
      <c r="D118" s="122">
        <f t="shared" si="18"/>
        <v>1.2558459518571008</v>
      </c>
      <c r="E118" s="123">
        <f t="shared" si="1"/>
        <v>-270.61657854116993</v>
      </c>
      <c r="F118" s="123">
        <f t="shared" si="2"/>
        <v>0.56486475976947148</v>
      </c>
      <c r="G118" s="123">
        <f t="shared" si="3"/>
        <v>-296.75107751960127</v>
      </c>
      <c r="H118" s="124">
        <f t="shared" si="4"/>
        <v>0.61941595381208348</v>
      </c>
      <c r="I118" s="123">
        <f t="shared" si="5"/>
        <v>-354.60478503798197</v>
      </c>
      <c r="J118" s="124">
        <f t="shared" si="6"/>
        <v>0.74017544598847185</v>
      </c>
      <c r="K118" s="123">
        <f t="shared" si="7"/>
        <v>-41.99410324840602</v>
      </c>
      <c r="L118" s="124">
        <f t="shared" si="8"/>
        <v>8.7655343109500169E-2</v>
      </c>
      <c r="M118" s="125">
        <f t="shared" si="9"/>
        <v>2.6349118168020458</v>
      </c>
      <c r="N118" s="123">
        <f t="shared" si="10"/>
        <v>-5.4999174050424926E-3</v>
      </c>
      <c r="O118" s="123">
        <f t="shared" si="11"/>
        <v>2.6349118168020458</v>
      </c>
      <c r="P118" s="124">
        <f t="shared" si="12"/>
        <v>-5.4999174050424926E-3</v>
      </c>
      <c r="Q118" s="123">
        <f t="shared" si="13"/>
        <v>-62.311787984742693</v>
      </c>
      <c r="R118" s="124">
        <f t="shared" si="14"/>
        <v>0.13006495515001554</v>
      </c>
      <c r="S118" s="123">
        <f t="shared" si="15"/>
        <v>-32.473349900772369</v>
      </c>
      <c r="T118" s="124">
        <f t="shared" si="16"/>
        <v>6.7782436277529015E-2</v>
      </c>
      <c r="U118" s="124">
        <f t="shared" si="19"/>
        <v>4.8301767379119251</v>
      </c>
      <c r="V118" s="122">
        <f t="shared" si="17"/>
        <v>-2.5862068965517233</v>
      </c>
    </row>
    <row r="119" spans="3:22" x14ac:dyDescent="0.25">
      <c r="C119" s="121">
        <f t="shared" si="0"/>
        <v>333.83626846621758</v>
      </c>
      <c r="D119" s="122">
        <f t="shared" si="18"/>
        <v>1.3395690153142408</v>
      </c>
      <c r="E119" s="123">
        <f t="shared" si="1"/>
        <v>-251.67938899183349</v>
      </c>
      <c r="F119" s="123">
        <f t="shared" si="2"/>
        <v>0.52533668989600102</v>
      </c>
      <c r="G119" s="123">
        <f t="shared" si="3"/>
        <v>-282.45864055411465</v>
      </c>
      <c r="H119" s="124">
        <f t="shared" si="4"/>
        <v>0.58958299229675015</v>
      </c>
      <c r="I119" s="123">
        <f t="shared" si="5"/>
        <v>-333.83626846621758</v>
      </c>
      <c r="J119" s="124">
        <f t="shared" si="6"/>
        <v>0.69682480137046943</v>
      </c>
      <c r="K119" s="123">
        <f t="shared" si="7"/>
        <v>-41.078439737192042</v>
      </c>
      <c r="L119" s="124">
        <f t="shared" si="8"/>
        <v>8.5744055737234218E-2</v>
      </c>
      <c r="M119" s="125">
        <f t="shared" si="9"/>
        <v>2.5086939714044769</v>
      </c>
      <c r="N119" s="123">
        <f t="shared" si="10"/>
        <v>-5.2364597362497753E-3</v>
      </c>
      <c r="O119" s="123">
        <f t="shared" si="11"/>
        <v>2.5086939714044769</v>
      </c>
      <c r="P119" s="124">
        <f t="shared" si="12"/>
        <v>-5.2364597362497753E-3</v>
      </c>
      <c r="Q119" s="123">
        <f t="shared" si="13"/>
        <v>-55.642593717628273</v>
      </c>
      <c r="R119" s="124">
        <f t="shared" si="14"/>
        <v>0.11614417898080384</v>
      </c>
      <c r="S119" s="123">
        <f t="shared" si="15"/>
        <v>-29.075643844516375</v>
      </c>
      <c r="T119" s="124">
        <f t="shared" si="16"/>
        <v>6.0690319358526805E-2</v>
      </c>
      <c r="U119" s="124">
        <f t="shared" si="19"/>
        <v>5.1521885204393865</v>
      </c>
      <c r="V119" s="122">
        <f t="shared" si="17"/>
        <v>-2.7586206896551713</v>
      </c>
    </row>
    <row r="120" spans="3:22" x14ac:dyDescent="0.25">
      <c r="C120" s="121">
        <f t="shared" si="0"/>
        <v>310.20365824833794</v>
      </c>
      <c r="D120" s="122">
        <f t="shared" si="18"/>
        <v>1.4232920787713808</v>
      </c>
      <c r="E120" s="123">
        <f t="shared" si="1"/>
        <v>-230.07062432258849</v>
      </c>
      <c r="F120" s="123">
        <f t="shared" si="2"/>
        <v>0.48023217438698107</v>
      </c>
      <c r="G120" s="123">
        <f t="shared" si="3"/>
        <v>-266.25522887475222</v>
      </c>
      <c r="H120" s="124">
        <f t="shared" si="4"/>
        <v>0.55576120541640028</v>
      </c>
      <c r="I120" s="123">
        <f t="shared" si="5"/>
        <v>-310.20365824833794</v>
      </c>
      <c r="J120" s="124">
        <f t="shared" si="6"/>
        <v>0.64749586237711332</v>
      </c>
      <c r="K120" s="123">
        <f t="shared" si="7"/>
        <v>-40.066516962874729</v>
      </c>
      <c r="L120" s="124">
        <f t="shared" si="8"/>
        <v>8.3631843995066152E-2</v>
      </c>
      <c r="M120" s="125">
        <f t="shared" si="9"/>
        <v>2.3695107248668905</v>
      </c>
      <c r="N120" s="123">
        <f t="shared" si="10"/>
        <v>-4.9459390610449919E-3</v>
      </c>
      <c r="O120" s="123">
        <f t="shared" si="11"/>
        <v>2.3695107248668905</v>
      </c>
      <c r="P120" s="124">
        <f t="shared" si="12"/>
        <v>-4.9459390610449919E-3</v>
      </c>
      <c r="Q120" s="123">
        <f t="shared" si="13"/>
        <v>-49.95140355930404</v>
      </c>
      <c r="R120" s="124">
        <f t="shared" si="14"/>
        <v>0.10426481527398967</v>
      </c>
      <c r="S120" s="123">
        <f t="shared" si="15"/>
        <v>-26.160457142085466</v>
      </c>
      <c r="T120" s="124">
        <f t="shared" si="16"/>
        <v>5.4605377167517337E-2</v>
      </c>
      <c r="U120" s="124">
        <f t="shared" si="19"/>
        <v>5.4742003029668478</v>
      </c>
      <c r="V120" s="122">
        <f t="shared" si="17"/>
        <v>-2.9310344827586192</v>
      </c>
    </row>
    <row r="121" spans="3:22" x14ac:dyDescent="0.25">
      <c r="C121" s="121">
        <f t="shared" si="0"/>
        <v>282.9903177026431</v>
      </c>
      <c r="D121" s="122">
        <f t="shared" si="18"/>
        <v>1.5070151422285207</v>
      </c>
      <c r="E121" s="123">
        <f t="shared" si="1"/>
        <v>-205.10117501321304</v>
      </c>
      <c r="F121" s="123">
        <f t="shared" si="2"/>
        <v>0.42811281768773651</v>
      </c>
      <c r="G121" s="123">
        <f t="shared" si="3"/>
        <v>-247.6833333110159</v>
      </c>
      <c r="H121" s="124">
        <f t="shared" si="4"/>
        <v>0.51699562282487532</v>
      </c>
      <c r="I121" s="123">
        <f t="shared" si="5"/>
        <v>-282.9903177026431</v>
      </c>
      <c r="J121" s="124">
        <f t="shared" si="6"/>
        <v>0.59069277532038245</v>
      </c>
      <c r="K121" s="123">
        <f t="shared" si="7"/>
        <v>-38.94457134471503</v>
      </c>
      <c r="L121" s="124">
        <f t="shared" si="8"/>
        <v>8.1289978816322953E-2</v>
      </c>
      <c r="M121" s="125">
        <f t="shared" si="9"/>
        <v>2.2273464215116854</v>
      </c>
      <c r="N121" s="123">
        <f t="shared" si="10"/>
        <v>-4.6491959513085893E-3</v>
      </c>
      <c r="O121" s="123">
        <f t="shared" si="11"/>
        <v>2.2273464215116854</v>
      </c>
      <c r="P121" s="124">
        <f t="shared" si="12"/>
        <v>-4.6491959513085893E-3</v>
      </c>
      <c r="Q121" s="123">
        <f t="shared" si="13"/>
        <v>-45.062970709019837</v>
      </c>
      <c r="R121" s="124">
        <f t="shared" si="14"/>
        <v>9.4061066994743384E-2</v>
      </c>
      <c r="S121" s="123">
        <f t="shared" si="15"/>
        <v>-23.64515856526576</v>
      </c>
      <c r="T121" s="124">
        <f t="shared" si="16"/>
        <v>4.935513147302599E-2</v>
      </c>
      <c r="U121" s="124">
        <f t="shared" si="19"/>
        <v>5.7962120854943091</v>
      </c>
      <c r="V121" s="122">
        <f t="shared" si="17"/>
        <v>-3.1034482758620676</v>
      </c>
    </row>
    <row r="122" spans="3:22" x14ac:dyDescent="0.25">
      <c r="C122" s="121">
        <f t="shared" si="0"/>
        <v>251.03443013224742</v>
      </c>
      <c r="D122" s="122">
        <f t="shared" si="18"/>
        <v>1.5907382056856607</v>
      </c>
      <c r="E122" s="123">
        <f t="shared" si="1"/>
        <v>-175.64846831295105</v>
      </c>
      <c r="F122" s="123">
        <f t="shared" si="2"/>
        <v>0.36663544558995437</v>
      </c>
      <c r="G122" s="123">
        <f t="shared" si="3"/>
        <v>-226.0066198986448</v>
      </c>
      <c r="H122" s="124">
        <f t="shared" si="4"/>
        <v>0.4717492762031073</v>
      </c>
      <c r="I122" s="123">
        <f t="shared" si="5"/>
        <v>-251.03443013224742</v>
      </c>
      <c r="J122" s="124">
        <f t="shared" si="6"/>
        <v>0.52399045112066356</v>
      </c>
      <c r="K122" s="123">
        <f t="shared" si="7"/>
        <v>-37.692980909648185</v>
      </c>
      <c r="L122" s="124">
        <f t="shared" si="8"/>
        <v>7.8677502765354596E-2</v>
      </c>
      <c r="M122" s="125">
        <f t="shared" si="9"/>
        <v>2.0879679791109944</v>
      </c>
      <c r="N122" s="123">
        <f t="shared" si="10"/>
        <v>-4.3582678388916635E-3</v>
      </c>
      <c r="O122" s="123">
        <f t="shared" si="11"/>
        <v>2.0879679791109944</v>
      </c>
      <c r="P122" s="124">
        <f t="shared" si="12"/>
        <v>-4.3582678388916635E-3</v>
      </c>
      <c r="Q122" s="123">
        <f t="shared" si="13"/>
        <v>-40.838031736199717</v>
      </c>
      <c r="R122" s="124">
        <f t="shared" si="14"/>
        <v>8.5242246097709376E-2</v>
      </c>
      <c r="S122" s="123">
        <f t="shared" si="15"/>
        <v>-21.462999857655355</v>
      </c>
      <c r="T122" s="124">
        <f t="shared" si="16"/>
        <v>4.480025696830052E-2</v>
      </c>
      <c r="U122" s="124">
        <f t="shared" si="19"/>
        <v>6.1182238680217704</v>
      </c>
      <c r="V122" s="122">
        <f t="shared" si="17"/>
        <v>-3.2758620689655156</v>
      </c>
    </row>
    <row r="123" spans="3:22" x14ac:dyDescent="0.25">
      <c r="C123" s="121">
        <f t="shared" si="0"/>
        <v>212.20415920944998</v>
      </c>
      <c r="D123" s="122">
        <f t="shared" si="18"/>
        <v>1.6744612691428007</v>
      </c>
      <c r="E123" s="123">
        <f t="shared" si="1"/>
        <v>-139.6411740339496</v>
      </c>
      <c r="F123" s="123">
        <f t="shared" si="2"/>
        <v>0.29147651873299341</v>
      </c>
      <c r="G123" s="123">
        <f t="shared" si="3"/>
        <v>-199.88548070117039</v>
      </c>
      <c r="H123" s="124">
        <f t="shared" si="4"/>
        <v>0.41722596836577319</v>
      </c>
      <c r="I123" s="123">
        <f t="shared" si="5"/>
        <v>-212.20415920944998</v>
      </c>
      <c r="J123" s="124">
        <f t="shared" si="6"/>
        <v>0.4429390544367291</v>
      </c>
      <c r="K123" s="123">
        <f t="shared" si="7"/>
        <v>-36.281492587750193</v>
      </c>
      <c r="L123" s="124">
        <f t="shared" si="8"/>
        <v>7.5731267851867859E-2</v>
      </c>
      <c r="M123" s="125">
        <f t="shared" si="9"/>
        <v>1.9545716462732199</v>
      </c>
      <c r="N123" s="123">
        <f t="shared" si="10"/>
        <v>-4.0798263335384555E-3</v>
      </c>
      <c r="O123" s="123">
        <f t="shared" si="11"/>
        <v>1.9545716462732199</v>
      </c>
      <c r="P123" s="124">
        <f t="shared" si="12"/>
        <v>-4.0798263335384555E-3</v>
      </c>
      <c r="Q123" s="123">
        <f t="shared" si="13"/>
        <v>-37.165208108970248</v>
      </c>
      <c r="R123" s="124">
        <f t="shared" si="14"/>
        <v>7.7575869384743187E-2</v>
      </c>
      <c r="S123" s="123">
        <f t="shared" si="15"/>
        <v>-19.559889877621735</v>
      </c>
      <c r="T123" s="124">
        <f t="shared" si="16"/>
        <v>4.0827847859140821E-2</v>
      </c>
      <c r="U123" s="124">
        <f t="shared" si="19"/>
        <v>6.4402356505492317</v>
      </c>
      <c r="V123" s="122">
        <f t="shared" si="17"/>
        <v>-3.4482758620689635</v>
      </c>
    </row>
    <row r="124" spans="3:22" x14ac:dyDescent="0.25">
      <c r="C124" s="121">
        <f t="shared" si="0"/>
        <v>161.61831621244255</v>
      </c>
      <c r="D124" s="122">
        <f t="shared" si="18"/>
        <v>1.7581843325999407</v>
      </c>
      <c r="E124" s="123">
        <f t="shared" si="1"/>
        <v>-92.304888854921174</v>
      </c>
      <c r="F124" s="123">
        <f t="shared" si="2"/>
        <v>0.19267030552841977</v>
      </c>
      <c r="G124" s="123">
        <f t="shared" si="3"/>
        <v>-166.28441708498693</v>
      </c>
      <c r="H124" s="124">
        <f t="shared" si="4"/>
        <v>0.34708962701569329</v>
      </c>
      <c r="I124" s="123">
        <f t="shared" si="5"/>
        <v>-161.61831621244255</v>
      </c>
      <c r="J124" s="124">
        <f t="shared" si="6"/>
        <v>0.33734995784007066</v>
      </c>
      <c r="K124" s="123">
        <f t="shared" si="7"/>
        <v>-34.656713678760688</v>
      </c>
      <c r="L124" s="124">
        <f t="shared" si="8"/>
        <v>7.2339826155825432E-2</v>
      </c>
      <c r="M124" s="125">
        <f t="shared" si="9"/>
        <v>1.8287860323722323</v>
      </c>
      <c r="N124" s="123">
        <f t="shared" si="10"/>
        <v>-3.817270872370257E-3</v>
      </c>
      <c r="O124" s="123">
        <f t="shared" si="11"/>
        <v>1.8287860323722323</v>
      </c>
      <c r="P124" s="124">
        <f t="shared" si="12"/>
        <v>-3.817270872370257E-3</v>
      </c>
      <c r="Q124" s="123">
        <f t="shared" si="13"/>
        <v>-33.954830701950662</v>
      </c>
      <c r="R124" s="124">
        <f t="shared" si="14"/>
        <v>7.087476824540713E-2</v>
      </c>
      <c r="S124" s="123">
        <f t="shared" si="15"/>
        <v>-17.891808367161449</v>
      </c>
      <c r="T124" s="124">
        <f t="shared" si="16"/>
        <v>3.73460195588887E-2</v>
      </c>
      <c r="U124" s="124">
        <f t="shared" si="19"/>
        <v>6.7622474330766931</v>
      </c>
      <c r="V124" s="122">
        <f t="shared" si="17"/>
        <v>-3.6206896551724115</v>
      </c>
    </row>
    <row r="125" spans="3:22" x14ac:dyDescent="0.25">
      <c r="C125" s="121">
        <f t="shared" si="0"/>
        <v>79.296342667796395</v>
      </c>
      <c r="D125" s="122">
        <f t="shared" si="18"/>
        <v>1.8419073960570806</v>
      </c>
      <c r="E125" s="123">
        <f t="shared" si="1"/>
        <v>-13.917264086239003</v>
      </c>
      <c r="F125" s="123">
        <f t="shared" si="2"/>
        <v>2.9049853771341311E-2</v>
      </c>
      <c r="G125" s="123">
        <f t="shared" si="3"/>
        <v>-112.95688418223524</v>
      </c>
      <c r="H125" s="124">
        <f t="shared" si="4"/>
        <v>0.23577773243555872</v>
      </c>
      <c r="I125" s="123">
        <f t="shared" si="5"/>
        <v>-79.296342667796395</v>
      </c>
      <c r="J125" s="124">
        <f t="shared" si="6"/>
        <v>0.16551724137931251</v>
      </c>
      <c r="K125" s="123">
        <f t="shared" si="7"/>
        <v>-32.689539290778697</v>
      </c>
      <c r="L125" s="124">
        <f t="shared" si="8"/>
        <v>6.8233693803985598E-2</v>
      </c>
      <c r="M125" s="125">
        <f t="shared" si="9"/>
        <v>1.7112887870544533</v>
      </c>
      <c r="N125" s="123">
        <f t="shared" si="10"/>
        <v>-3.5720159304602414E-3</v>
      </c>
      <c r="O125" s="123">
        <f t="shared" si="11"/>
        <v>1.7112887870544533</v>
      </c>
      <c r="P125" s="124">
        <f t="shared" si="12"/>
        <v>-3.5720159304602414E-3</v>
      </c>
      <c r="Q125" s="123">
        <f t="shared" si="13"/>
        <v>-31.134226188806625</v>
      </c>
      <c r="R125" s="124">
        <f t="shared" si="14"/>
        <v>6.4987249826134075E-2</v>
      </c>
      <c r="S125" s="123">
        <f t="shared" si="15"/>
        <v>-16.422757487930539</v>
      </c>
      <c r="T125" s="124">
        <f t="shared" si="16"/>
        <v>3.4279632878297155E-2</v>
      </c>
      <c r="U125" s="124">
        <f t="shared" si="19"/>
        <v>7.0842592156041544</v>
      </c>
      <c r="V125" s="122">
        <f t="shared" si="17"/>
        <v>-3.7931034482758594</v>
      </c>
    </row>
    <row r="126" spans="3:22" x14ac:dyDescent="0.25">
      <c r="C126" s="121" t="e">
        <f t="shared" si="0"/>
        <v>#NUM!</v>
      </c>
      <c r="D126" s="122">
        <f t="shared" si="18"/>
        <v>1.9256304595142206</v>
      </c>
      <c r="E126" s="123" t="e">
        <f t="shared" si="1"/>
        <v>#NUM!</v>
      </c>
      <c r="F126" s="123" t="e">
        <f t="shared" si="2"/>
        <v>#NUM!</v>
      </c>
      <c r="G126" s="123" t="e">
        <f t="shared" si="3"/>
        <v>#NUM!</v>
      </c>
      <c r="H126" s="124" t="e">
        <f t="shared" si="4"/>
        <v>#NUM!</v>
      </c>
      <c r="I126" s="123" t="e">
        <f t="shared" si="5"/>
        <v>#NUM!</v>
      </c>
      <c r="J126" s="124" t="e">
        <f t="shared" si="6"/>
        <v>#NUM!</v>
      </c>
      <c r="K126" s="123" t="e">
        <f t="shared" si="7"/>
        <v>#NUM!</v>
      </c>
      <c r="L126" s="124" t="e">
        <f t="shared" si="8"/>
        <v>#NUM!</v>
      </c>
      <c r="M126" s="125">
        <f t="shared" si="9"/>
        <v>1.6021884386608163</v>
      </c>
      <c r="N126" s="123">
        <f t="shared" si="10"/>
        <v>-3.3442880417316433E-3</v>
      </c>
      <c r="O126" s="123">
        <f t="shared" si="11"/>
        <v>1.6021884386608163</v>
      </c>
      <c r="P126" s="124">
        <f t="shared" si="12"/>
        <v>-3.3442880417316433E-3</v>
      </c>
      <c r="Q126" s="123">
        <f t="shared" si="13"/>
        <v>-28.644107856487029</v>
      </c>
      <c r="R126" s="124">
        <f t="shared" si="14"/>
        <v>5.9789563486421234E-2</v>
      </c>
      <c r="S126" s="123">
        <f t="shared" si="15"/>
        <v>-15.123148147573923</v>
      </c>
      <c r="T126" s="124">
        <f t="shared" si="16"/>
        <v>3.1566925764076437E-2</v>
      </c>
      <c r="U126" s="124">
        <f t="shared" si="19"/>
        <v>7.4062709981316157</v>
      </c>
      <c r="V126" s="122">
        <f t="shared" si="17"/>
        <v>-3.9655172413793078</v>
      </c>
    </row>
    <row r="127" spans="3:22" x14ac:dyDescent="0.25">
      <c r="C127" s="121" t="e">
        <f t="shared" si="0"/>
        <v>#NUM!</v>
      </c>
      <c r="D127" s="122">
        <f t="shared" si="18"/>
        <v>2.0093535229713608</v>
      </c>
      <c r="E127" s="123" t="e">
        <f t="shared" si="1"/>
        <v>#NUM!</v>
      </c>
      <c r="F127" s="123" t="e">
        <f t="shared" si="2"/>
        <v>#NUM!</v>
      </c>
      <c r="G127" s="123" t="e">
        <f t="shared" si="3"/>
        <v>#NUM!</v>
      </c>
      <c r="H127" s="124" t="e">
        <f t="shared" si="4"/>
        <v>#NUM!</v>
      </c>
      <c r="I127" s="123" t="e">
        <f t="shared" si="5"/>
        <v>#NUM!</v>
      </c>
      <c r="J127" s="124" t="e">
        <f t="shared" si="6"/>
        <v>#NUM!</v>
      </c>
      <c r="K127" s="123" t="e">
        <f t="shared" si="7"/>
        <v>#NUM!</v>
      </c>
      <c r="L127" s="124" t="e">
        <f t="shared" si="8"/>
        <v>#NUM!</v>
      </c>
      <c r="M127" s="125">
        <f t="shared" si="9"/>
        <v>1.5012618556340118</v>
      </c>
      <c r="N127" s="123">
        <f t="shared" si="10"/>
        <v>-3.1336214580983852E-3</v>
      </c>
      <c r="O127" s="123">
        <f t="shared" si="11"/>
        <v>1.5012618556340118</v>
      </c>
      <c r="P127" s="124">
        <f t="shared" si="12"/>
        <v>-3.1336214580983852E-3</v>
      </c>
      <c r="Q127" s="123">
        <f t="shared" si="13"/>
        <v>-26.435799561009556</v>
      </c>
      <c r="R127" s="124">
        <f t="shared" si="14"/>
        <v>5.5180106292238122E-2</v>
      </c>
      <c r="S127" s="123">
        <f t="shared" si="15"/>
        <v>-13.968530708321785</v>
      </c>
      <c r="T127" s="124">
        <f t="shared" si="16"/>
        <v>2.9156863875168255E-2</v>
      </c>
      <c r="U127" s="124">
        <f t="shared" si="19"/>
        <v>7.728282780659077</v>
      </c>
      <c r="V127" s="122">
        <f t="shared" si="17"/>
        <v>-4.1379310344827553</v>
      </c>
    </row>
    <row r="128" spans="3:22" x14ac:dyDescent="0.25">
      <c r="C128" s="121" t="e">
        <f t="shared" si="0"/>
        <v>#NUM!</v>
      </c>
      <c r="D128" s="122">
        <f t="shared" si="18"/>
        <v>2.0930765864285008</v>
      </c>
      <c r="E128" s="123" t="e">
        <f t="shared" si="1"/>
        <v>#NUM!</v>
      </c>
      <c r="F128" s="123" t="e">
        <f t="shared" si="2"/>
        <v>#NUM!</v>
      </c>
      <c r="G128" s="123" t="e">
        <f t="shared" si="3"/>
        <v>#NUM!</v>
      </c>
      <c r="H128" s="124" t="e">
        <f t="shared" si="4"/>
        <v>#NUM!</v>
      </c>
      <c r="I128" s="123" t="e">
        <f t="shared" si="5"/>
        <v>#NUM!</v>
      </c>
      <c r="J128" s="124" t="e">
        <f t="shared" si="6"/>
        <v>#NUM!</v>
      </c>
      <c r="K128" s="123" t="e">
        <f t="shared" si="7"/>
        <v>#NUM!</v>
      </c>
      <c r="L128" s="124" t="e">
        <f t="shared" si="8"/>
        <v>#NUM!</v>
      </c>
      <c r="M128" s="125">
        <f t="shared" si="9"/>
        <v>1.4081020695743303</v>
      </c>
      <c r="N128" s="123">
        <f t="shared" si="10"/>
        <v>-2.9391667042305558E-3</v>
      </c>
      <c r="O128" s="123">
        <f t="shared" si="11"/>
        <v>1.4081020695743303</v>
      </c>
      <c r="P128" s="124">
        <f t="shared" si="12"/>
        <v>-2.9391667042305558E-3</v>
      </c>
      <c r="Q128" s="123">
        <f t="shared" si="13"/>
        <v>-24.46908909931657</v>
      </c>
      <c r="R128" s="124">
        <f t="shared" si="14"/>
        <v>5.1074942305356565E-2</v>
      </c>
      <c r="S128" s="123">
        <f t="shared" si="15"/>
        <v>-12.93859558444545</v>
      </c>
      <c r="T128" s="124">
        <f t="shared" si="16"/>
        <v>2.700705450479356E-2</v>
      </c>
      <c r="U128" s="124">
        <f t="shared" si="19"/>
        <v>8.0502945631865384</v>
      </c>
      <c r="V128" s="122">
        <f t="shared" si="17"/>
        <v>-4.3103448275862037</v>
      </c>
    </row>
    <row r="129" spans="3:22" x14ac:dyDescent="0.25">
      <c r="C129" s="121" t="e">
        <f t="shared" si="0"/>
        <v>#NUM!</v>
      </c>
      <c r="D129" s="122">
        <f t="shared" si="18"/>
        <v>2.1767996498856408</v>
      </c>
      <c r="E129" s="123" t="e">
        <f t="shared" si="1"/>
        <v>#NUM!</v>
      </c>
      <c r="F129" s="123" t="e">
        <f t="shared" si="2"/>
        <v>#NUM!</v>
      </c>
      <c r="G129" s="123" t="e">
        <f t="shared" si="3"/>
        <v>#NUM!</v>
      </c>
      <c r="H129" s="124" t="e">
        <f t="shared" si="4"/>
        <v>#NUM!</v>
      </c>
      <c r="I129" s="123" t="e">
        <f t="shared" si="5"/>
        <v>#NUM!</v>
      </c>
      <c r="J129" s="124" t="e">
        <f t="shared" si="6"/>
        <v>#NUM!</v>
      </c>
      <c r="K129" s="123" t="e">
        <f t="shared" si="7"/>
        <v>#NUM!</v>
      </c>
      <c r="L129" s="124" t="e">
        <f t="shared" si="8"/>
        <v>#NUM!</v>
      </c>
      <c r="M129" s="125">
        <f t="shared" si="9"/>
        <v>1.3222099906360985</v>
      </c>
      <c r="N129" s="123">
        <f t="shared" si="10"/>
        <v>-2.7598820173976545E-3</v>
      </c>
      <c r="O129" s="123">
        <f t="shared" si="11"/>
        <v>1.3222099906360985</v>
      </c>
      <c r="P129" s="124">
        <f t="shared" si="12"/>
        <v>-2.7598820173976545E-3</v>
      </c>
      <c r="Q129" s="123">
        <f t="shared" si="13"/>
        <v>-22.710558655619561</v>
      </c>
      <c r="R129" s="124">
        <f t="shared" si="14"/>
        <v>4.7404317682205127E-2</v>
      </c>
      <c r="S129" s="123">
        <f t="shared" si="15"/>
        <v>-12.016384323127831</v>
      </c>
      <c r="T129" s="124">
        <f t="shared" si="16"/>
        <v>2.5082099849801396E-2</v>
      </c>
      <c r="U129" s="124">
        <f t="shared" si="19"/>
        <v>8.3723063457139997</v>
      </c>
      <c r="V129" s="122">
        <f t="shared" si="17"/>
        <v>-4.4827586206896521</v>
      </c>
    </row>
    <row r="130" spans="3:22" x14ac:dyDescent="0.25">
      <c r="C130" s="121" t="e">
        <f t="shared" si="0"/>
        <v>#NUM!</v>
      </c>
      <c r="D130" s="122">
        <f t="shared" si="18"/>
        <v>2.2605227133427808</v>
      </c>
      <c r="E130" s="123" t="e">
        <f t="shared" si="1"/>
        <v>#NUM!</v>
      </c>
      <c r="F130" s="123" t="e">
        <f t="shared" si="2"/>
        <v>#NUM!</v>
      </c>
      <c r="G130" s="123" t="e">
        <f t="shared" si="3"/>
        <v>#NUM!</v>
      </c>
      <c r="H130" s="124" t="e">
        <f t="shared" si="4"/>
        <v>#NUM!</v>
      </c>
      <c r="I130" s="123" t="e">
        <f t="shared" si="5"/>
        <v>#NUM!</v>
      </c>
      <c r="J130" s="124" t="e">
        <f t="shared" si="6"/>
        <v>#NUM!</v>
      </c>
      <c r="K130" s="123" t="e">
        <f t="shared" si="7"/>
        <v>#NUM!</v>
      </c>
      <c r="L130" s="124" t="e">
        <f t="shared" si="8"/>
        <v>#NUM!</v>
      </c>
      <c r="M130" s="125">
        <f t="shared" si="9"/>
        <v>1.2430507846060888</v>
      </c>
      <c r="N130" s="123">
        <f t="shared" si="10"/>
        <v>-2.5946510247558605E-3</v>
      </c>
      <c r="O130" s="123">
        <f t="shared" si="11"/>
        <v>1.2430507846060888</v>
      </c>
      <c r="P130" s="124">
        <f t="shared" si="12"/>
        <v>-2.5946510247558605E-3</v>
      </c>
      <c r="Q130" s="123">
        <f t="shared" si="13"/>
        <v>-21.132278459527257</v>
      </c>
      <c r="R130" s="124">
        <f t="shared" si="14"/>
        <v>4.4109933913773276E-2</v>
      </c>
      <c r="S130" s="123">
        <f t="shared" si="15"/>
        <v>-11.187664622066674</v>
      </c>
      <c r="T130" s="124">
        <f t="shared" si="16"/>
        <v>2.3352292469264572E-2</v>
      </c>
      <c r="U130" s="124">
        <f t="shared" si="19"/>
        <v>8.694318128241461</v>
      </c>
      <c r="V130" s="122">
        <f t="shared" si="17"/>
        <v>-4.6551724137930997</v>
      </c>
    </row>
    <row r="131" spans="3:22" x14ac:dyDescent="0.25">
      <c r="C131" s="121" t="e">
        <f t="shared" si="0"/>
        <v>#NUM!</v>
      </c>
      <c r="D131" s="122">
        <f t="shared" si="18"/>
        <v>2.3442457767999207</v>
      </c>
      <c r="E131" s="123" t="e">
        <f t="shared" si="1"/>
        <v>#NUM!</v>
      </c>
      <c r="F131" s="123" t="e">
        <f t="shared" si="2"/>
        <v>#NUM!</v>
      </c>
      <c r="G131" s="123" t="e">
        <f t="shared" si="3"/>
        <v>#NUM!</v>
      </c>
      <c r="H131" s="124" t="e">
        <f t="shared" si="4"/>
        <v>#NUM!</v>
      </c>
      <c r="I131" s="123" t="e">
        <f t="shared" si="5"/>
        <v>#NUM!</v>
      </c>
      <c r="J131" s="124" t="e">
        <f t="shared" si="6"/>
        <v>#NUM!</v>
      </c>
      <c r="K131" s="123" t="e">
        <f t="shared" si="7"/>
        <v>#NUM!</v>
      </c>
      <c r="L131" s="124" t="e">
        <f t="shared" si="8"/>
        <v>#NUM!</v>
      </c>
      <c r="M131" s="125">
        <f t="shared" si="9"/>
        <v>1.1700879042516306</v>
      </c>
      <c r="N131" s="123">
        <f t="shared" si="10"/>
        <v>-2.4423537778329799E-3</v>
      </c>
      <c r="O131" s="123">
        <f t="shared" si="11"/>
        <v>1.1700879042516306</v>
      </c>
      <c r="P131" s="124">
        <f t="shared" si="12"/>
        <v>-2.4423537778329799E-3</v>
      </c>
      <c r="Q131" s="123">
        <f t="shared" si="13"/>
        <v>-19.710778391925373</v>
      </c>
      <c r="R131" s="124">
        <f t="shared" si="14"/>
        <v>4.1142801232816453E-2</v>
      </c>
      <c r="S131" s="123">
        <f t="shared" si="15"/>
        <v>-10.440433148088502</v>
      </c>
      <c r="T131" s="124">
        <f t="shared" si="16"/>
        <v>2.1792577505324717E-2</v>
      </c>
      <c r="U131" s="124">
        <f t="shared" si="19"/>
        <v>9.0163299107689223</v>
      </c>
      <c r="V131" s="122">
        <f t="shared" si="17"/>
        <v>-4.827586206896548</v>
      </c>
    </row>
    <row r="132" spans="3:22" ht="13.8" thickBot="1" x14ac:dyDescent="0.3">
      <c r="C132" s="121" t="e">
        <f t="shared" si="0"/>
        <v>#NUM!</v>
      </c>
      <c r="D132" s="126">
        <f>1.3*C47</f>
        <v>2.4279688402570621</v>
      </c>
      <c r="E132" s="123" t="e">
        <f t="shared" si="1"/>
        <v>#NUM!</v>
      </c>
      <c r="F132" s="123" t="e">
        <f t="shared" si="2"/>
        <v>#NUM!</v>
      </c>
      <c r="G132" s="123" t="e">
        <f t="shared" si="3"/>
        <v>#NUM!</v>
      </c>
      <c r="H132" s="124" t="e">
        <f t="shared" si="4"/>
        <v>#NUM!</v>
      </c>
      <c r="I132" s="123" t="e">
        <f t="shared" si="5"/>
        <v>#NUM!</v>
      </c>
      <c r="J132" s="124" t="e">
        <f t="shared" si="6"/>
        <v>#NUM!</v>
      </c>
      <c r="K132" s="123" t="e">
        <f t="shared" si="7"/>
        <v>#NUM!</v>
      </c>
      <c r="L132" s="124" t="e">
        <f t="shared" si="8"/>
        <v>#NUM!</v>
      </c>
      <c r="M132" s="125">
        <f t="shared" si="9"/>
        <v>1.1028029724078592</v>
      </c>
      <c r="N132" s="123">
        <f t="shared" si="10"/>
        <v>-2.3019082549942706E-3</v>
      </c>
      <c r="O132" s="123">
        <f t="shared" si="11"/>
        <v>1.1028029724078592</v>
      </c>
      <c r="P132" s="124">
        <f t="shared" si="12"/>
        <v>-2.3019082549942706E-3</v>
      </c>
      <c r="Q132" s="123">
        <f t="shared" si="13"/>
        <v>-18.426233472484501</v>
      </c>
      <c r="R132" s="124">
        <f t="shared" si="14"/>
        <v>3.8461538461538464E-2</v>
      </c>
      <c r="S132" s="123">
        <f t="shared" si="15"/>
        <v>-9.7645182224461795</v>
      </c>
      <c r="T132" s="124">
        <f t="shared" si="16"/>
        <v>2.0381723358266369E-2</v>
      </c>
      <c r="U132" s="127">
        <f>5*$C$47</f>
        <v>9.3383416932963907</v>
      </c>
      <c r="V132" s="126">
        <f t="shared" si="17"/>
        <v>-5</v>
      </c>
    </row>
  </sheetData>
  <sheetProtection sheet="1" objects="1" scenarios="1"/>
  <mergeCells count="8">
    <mergeCell ref="M101:V101"/>
    <mergeCell ref="E101:L101"/>
    <mergeCell ref="J95:K95"/>
    <mergeCell ref="J96:K96"/>
    <mergeCell ref="A1:L1"/>
    <mergeCell ref="A97:L97"/>
    <mergeCell ref="B3:K3"/>
    <mergeCell ref="C101:D101"/>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142"/>
  <sheetViews>
    <sheetView showGridLines="0" tabSelected="1" zoomScaleNormal="100" workbookViewId="0">
      <selection sqref="A1:L1"/>
    </sheetView>
  </sheetViews>
  <sheetFormatPr baseColWidth="10" defaultRowHeight="13.2" x14ac:dyDescent="0.25"/>
  <cols>
    <col min="1" max="1" width="8.44140625" customWidth="1"/>
    <col min="2" max="2" width="51.44140625" bestFit="1" customWidth="1"/>
    <col min="4" max="4" width="11.44140625" customWidth="1"/>
    <col min="7" max="7" width="8.44140625" bestFit="1" customWidth="1"/>
    <col min="8" max="8" width="12.88671875" bestFit="1" customWidth="1"/>
    <col min="9" max="9" width="11" customWidth="1"/>
    <col min="10" max="10" width="12.88671875" customWidth="1"/>
    <col min="11" max="11" width="11.109375" customWidth="1"/>
    <col min="12" max="12" width="12.88671875" bestFit="1" customWidth="1"/>
    <col min="14" max="14" width="13.33203125" bestFit="1" customWidth="1"/>
  </cols>
  <sheetData>
    <row r="1" spans="1:15" ht="30" x14ac:dyDescent="0.7">
      <c r="A1" s="157" t="s">
        <v>92</v>
      </c>
      <c r="B1" s="158"/>
      <c r="C1" s="158"/>
      <c r="D1" s="158"/>
      <c r="E1" s="158"/>
      <c r="F1" s="158"/>
      <c r="G1" s="158"/>
      <c r="H1" s="158"/>
      <c r="I1" s="158"/>
      <c r="J1" s="158"/>
      <c r="K1" s="158"/>
      <c r="L1" s="159"/>
      <c r="M1" s="2"/>
      <c r="N1" s="2"/>
    </row>
    <row r="2" spans="1:15" x14ac:dyDescent="0.25">
      <c r="A2" s="15"/>
      <c r="B2" s="16"/>
      <c r="C2" s="16"/>
      <c r="D2" s="16"/>
      <c r="E2" s="16"/>
      <c r="F2" s="16"/>
      <c r="G2" s="16"/>
      <c r="H2" s="16"/>
      <c r="I2" s="16"/>
      <c r="J2" s="16"/>
      <c r="K2" s="16"/>
      <c r="L2" s="1"/>
    </row>
    <row r="3" spans="1:15" ht="150.75" customHeight="1" x14ac:dyDescent="0.25">
      <c r="A3" s="15"/>
      <c r="B3" s="160" t="s">
        <v>113</v>
      </c>
      <c r="C3" s="160"/>
      <c r="D3" s="160"/>
      <c r="E3" s="160"/>
      <c r="F3" s="160"/>
      <c r="G3" s="160"/>
      <c r="H3" s="160"/>
      <c r="I3" s="160"/>
      <c r="J3" s="160"/>
      <c r="K3" s="160"/>
      <c r="L3" s="98"/>
      <c r="M3" s="3"/>
      <c r="N3" s="3"/>
    </row>
    <row r="4" spans="1:15" x14ac:dyDescent="0.25">
      <c r="A4" s="15"/>
      <c r="B4" s="16"/>
      <c r="C4" s="16"/>
      <c r="D4" s="16"/>
      <c r="E4" s="16"/>
      <c r="F4" s="16"/>
      <c r="G4" s="16"/>
      <c r="H4" s="16"/>
      <c r="I4" s="16"/>
      <c r="J4" s="16"/>
      <c r="K4" s="16"/>
      <c r="L4" s="1"/>
    </row>
    <row r="5" spans="1:15" x14ac:dyDescent="0.25">
      <c r="A5" s="15"/>
      <c r="B5" s="16"/>
      <c r="C5" s="16"/>
      <c r="D5" s="16"/>
      <c r="E5" s="16"/>
      <c r="F5" s="16"/>
      <c r="G5" s="16"/>
      <c r="H5" s="16"/>
      <c r="I5" s="16"/>
      <c r="J5" s="16"/>
      <c r="K5" s="16"/>
      <c r="L5" s="1"/>
    </row>
    <row r="6" spans="1:15" x14ac:dyDescent="0.25">
      <c r="A6" s="15"/>
      <c r="B6" s="16"/>
      <c r="C6" s="16"/>
      <c r="D6" s="16"/>
      <c r="E6" s="16"/>
      <c r="F6" s="16"/>
      <c r="G6" s="16"/>
      <c r="H6" s="16"/>
      <c r="I6" s="16"/>
      <c r="J6" s="16"/>
      <c r="K6" s="16"/>
      <c r="L6" s="1"/>
    </row>
    <row r="7" spans="1:15" x14ac:dyDescent="0.25">
      <c r="A7" s="15"/>
      <c r="B7" s="16"/>
      <c r="C7" s="16"/>
      <c r="D7" s="16"/>
      <c r="E7" s="16"/>
      <c r="F7" s="16"/>
      <c r="G7" s="16"/>
      <c r="H7" s="16"/>
      <c r="I7" s="16"/>
      <c r="J7" s="16"/>
      <c r="K7" s="16"/>
      <c r="L7" s="1"/>
      <c r="N7" s="16"/>
    </row>
    <row r="8" spans="1:15" x14ac:dyDescent="0.25">
      <c r="A8" s="15"/>
      <c r="B8" s="16"/>
      <c r="C8" s="16"/>
      <c r="D8" s="16"/>
      <c r="E8" s="16"/>
      <c r="F8" s="16"/>
      <c r="G8" s="16"/>
      <c r="H8" s="16"/>
      <c r="I8" s="16"/>
      <c r="J8" s="16"/>
      <c r="K8" s="16"/>
      <c r="L8" s="1"/>
      <c r="N8" s="16"/>
      <c r="O8" s="16"/>
    </row>
    <row r="9" spans="1:15" x14ac:dyDescent="0.25">
      <c r="A9" s="15"/>
      <c r="B9" s="16"/>
      <c r="C9" s="16"/>
      <c r="D9" s="16"/>
      <c r="E9" s="16"/>
      <c r="F9" s="16"/>
      <c r="G9" s="16"/>
      <c r="H9" s="16"/>
      <c r="I9" s="16"/>
      <c r="J9" s="16"/>
      <c r="K9" s="16"/>
      <c r="L9" s="1"/>
      <c r="N9" s="16"/>
      <c r="O9" s="16"/>
    </row>
    <row r="10" spans="1:15" x14ac:dyDescent="0.25">
      <c r="A10" s="15"/>
      <c r="B10" s="16"/>
      <c r="C10" s="16"/>
      <c r="D10" s="16"/>
      <c r="E10" s="16"/>
      <c r="F10" s="16"/>
      <c r="G10" s="16"/>
      <c r="H10" s="16"/>
      <c r="I10" s="16"/>
      <c r="J10" s="16"/>
      <c r="K10" s="16"/>
      <c r="L10" s="1"/>
      <c r="N10" s="16"/>
      <c r="O10" s="16"/>
    </row>
    <row r="11" spans="1:15" x14ac:dyDescent="0.25">
      <c r="A11" s="15"/>
      <c r="B11" s="16"/>
      <c r="C11" s="16"/>
      <c r="D11" s="16"/>
      <c r="E11" s="16"/>
      <c r="F11" s="16"/>
      <c r="G11" s="16"/>
      <c r="H11" s="16"/>
      <c r="I11" s="16"/>
      <c r="J11" s="16"/>
      <c r="K11" s="16"/>
      <c r="L11" s="1"/>
      <c r="N11" s="16"/>
      <c r="O11" s="16"/>
    </row>
    <row r="12" spans="1:15" x14ac:dyDescent="0.25">
      <c r="A12" s="15"/>
      <c r="B12" s="16"/>
      <c r="C12" s="16"/>
      <c r="D12" s="16"/>
      <c r="E12" s="16"/>
      <c r="F12" s="16"/>
      <c r="G12" s="16"/>
      <c r="H12" s="16"/>
      <c r="I12" s="16"/>
      <c r="J12" s="16"/>
      <c r="K12" s="16"/>
      <c r="L12" s="1"/>
      <c r="N12" s="16"/>
      <c r="O12" s="16"/>
    </row>
    <row r="13" spans="1:15" x14ac:dyDescent="0.25">
      <c r="A13" s="15"/>
      <c r="B13" s="16"/>
      <c r="C13" s="16"/>
      <c r="D13" s="16"/>
      <c r="E13" s="16"/>
      <c r="F13" s="16"/>
      <c r="G13" s="16"/>
      <c r="H13" s="16"/>
      <c r="I13" s="16"/>
      <c r="J13" s="16"/>
      <c r="K13" s="16"/>
      <c r="L13" s="1"/>
    </row>
    <row r="14" spans="1:15" x14ac:dyDescent="0.25">
      <c r="A14" s="15"/>
      <c r="B14" s="16"/>
      <c r="C14" s="16"/>
      <c r="D14" s="16"/>
      <c r="E14" s="16"/>
      <c r="F14" s="16"/>
      <c r="G14" s="16"/>
      <c r="H14" s="16"/>
      <c r="I14" s="16"/>
      <c r="J14" s="16"/>
      <c r="K14" s="16"/>
      <c r="L14" s="1"/>
    </row>
    <row r="15" spans="1:15" x14ac:dyDescent="0.25">
      <c r="A15" s="15"/>
      <c r="B15" s="16"/>
      <c r="C15" s="16"/>
      <c r="D15" s="16"/>
      <c r="E15" s="16"/>
      <c r="F15" s="16"/>
      <c r="G15" s="16"/>
      <c r="H15" s="16"/>
      <c r="I15" s="16"/>
      <c r="J15" s="16"/>
      <c r="K15" s="16"/>
      <c r="L15" s="1"/>
    </row>
    <row r="16" spans="1:15" x14ac:dyDescent="0.25">
      <c r="A16" s="15"/>
      <c r="B16" s="16"/>
      <c r="C16" s="16"/>
      <c r="D16" s="16"/>
      <c r="E16" s="16"/>
      <c r="F16" s="16"/>
      <c r="G16" s="16"/>
      <c r="H16" s="16"/>
      <c r="I16" s="16"/>
      <c r="J16" s="16"/>
      <c r="K16" s="16"/>
      <c r="L16" s="1"/>
    </row>
    <row r="17" spans="1:12" x14ac:dyDescent="0.25">
      <c r="A17" s="15"/>
      <c r="B17" s="16"/>
      <c r="C17" s="16"/>
      <c r="D17" s="16"/>
      <c r="E17" s="16"/>
      <c r="F17" s="16"/>
      <c r="G17" s="16"/>
      <c r="H17" s="16"/>
      <c r="I17" s="16"/>
      <c r="J17" s="16"/>
      <c r="K17" s="16"/>
      <c r="L17" s="1"/>
    </row>
    <row r="18" spans="1:12" x14ac:dyDescent="0.25">
      <c r="A18" s="15"/>
      <c r="B18" s="16"/>
      <c r="C18" s="16"/>
      <c r="D18" s="16"/>
      <c r="E18" s="16"/>
      <c r="F18" s="16"/>
      <c r="G18" s="16"/>
      <c r="H18" s="16"/>
      <c r="I18" s="16"/>
      <c r="J18" s="16"/>
      <c r="K18" s="16"/>
      <c r="L18" s="1"/>
    </row>
    <row r="19" spans="1:12" x14ac:dyDescent="0.25">
      <c r="A19" s="15"/>
      <c r="B19" s="16"/>
      <c r="C19" s="16"/>
      <c r="D19" s="16"/>
      <c r="E19" s="16"/>
      <c r="F19" s="16"/>
      <c r="G19" s="16"/>
      <c r="H19" s="16"/>
      <c r="I19" s="16"/>
      <c r="J19" s="16"/>
      <c r="K19" s="16"/>
      <c r="L19" s="1"/>
    </row>
    <row r="20" spans="1:12" x14ac:dyDescent="0.25">
      <c r="A20" s="15"/>
      <c r="B20" s="16"/>
      <c r="C20" s="16"/>
      <c r="D20" s="16"/>
      <c r="E20" s="16"/>
      <c r="F20" s="16"/>
      <c r="G20" s="16"/>
      <c r="H20" s="16"/>
      <c r="I20" s="16"/>
      <c r="J20" s="16"/>
      <c r="K20" s="16"/>
      <c r="L20" s="1"/>
    </row>
    <row r="21" spans="1:12" x14ac:dyDescent="0.25">
      <c r="A21" s="15"/>
      <c r="B21" s="16"/>
      <c r="C21" s="16"/>
      <c r="D21" s="16"/>
      <c r="E21" s="16"/>
      <c r="F21" s="16"/>
      <c r="G21" s="16"/>
      <c r="H21" s="16"/>
      <c r="I21" s="16"/>
      <c r="J21" s="16"/>
      <c r="K21" s="16"/>
      <c r="L21" s="1"/>
    </row>
    <row r="22" spans="1:12" x14ac:dyDescent="0.25">
      <c r="A22" s="15"/>
      <c r="B22" s="16"/>
      <c r="C22" s="16"/>
      <c r="D22" s="16"/>
      <c r="E22" s="16"/>
      <c r="F22" s="16"/>
      <c r="G22" s="16"/>
      <c r="H22" s="16"/>
      <c r="I22" s="16"/>
      <c r="J22" s="16"/>
      <c r="K22" s="16"/>
      <c r="L22" s="1"/>
    </row>
    <row r="23" spans="1:12" x14ac:dyDescent="0.25">
      <c r="A23" s="15"/>
      <c r="B23" s="16"/>
      <c r="C23" s="16"/>
      <c r="D23" s="16"/>
      <c r="E23" s="16"/>
      <c r="F23" s="16"/>
      <c r="G23" s="16"/>
      <c r="H23" s="16"/>
      <c r="I23" s="16"/>
      <c r="J23" s="16"/>
      <c r="K23" s="16"/>
      <c r="L23" s="1"/>
    </row>
    <row r="24" spans="1:12" x14ac:dyDescent="0.25">
      <c r="A24" s="15"/>
      <c r="B24" s="16"/>
      <c r="C24" s="16"/>
      <c r="D24" s="16"/>
      <c r="E24" s="16"/>
      <c r="F24" s="16"/>
      <c r="G24" s="16"/>
      <c r="H24" s="16"/>
      <c r="I24" s="16"/>
      <c r="J24" s="16"/>
      <c r="K24" s="16"/>
      <c r="L24" s="1"/>
    </row>
    <row r="25" spans="1:12" x14ac:dyDescent="0.25">
      <c r="A25" s="15"/>
      <c r="B25" s="16"/>
      <c r="C25" s="16"/>
      <c r="D25" s="16"/>
      <c r="E25" s="16"/>
      <c r="F25" s="16"/>
      <c r="G25" s="16"/>
      <c r="H25" s="16"/>
      <c r="I25" s="16"/>
      <c r="J25" s="16"/>
      <c r="K25" s="16"/>
      <c r="L25" s="1"/>
    </row>
    <row r="26" spans="1:12" x14ac:dyDescent="0.25">
      <c r="A26" s="15"/>
      <c r="B26" s="16"/>
      <c r="C26" s="16"/>
      <c r="D26" s="16"/>
      <c r="E26" s="16"/>
      <c r="F26" s="16"/>
      <c r="G26" s="16"/>
      <c r="H26" s="16"/>
      <c r="I26" s="16"/>
      <c r="J26" s="16"/>
      <c r="K26" s="16"/>
      <c r="L26" s="1"/>
    </row>
    <row r="27" spans="1:12" x14ac:dyDescent="0.25">
      <c r="A27" s="15"/>
      <c r="B27" s="16"/>
      <c r="C27" s="16"/>
      <c r="D27" s="16"/>
      <c r="E27" s="16"/>
      <c r="F27" s="16"/>
      <c r="G27" s="16"/>
      <c r="H27" s="16"/>
      <c r="I27" s="16"/>
      <c r="J27" s="16"/>
      <c r="K27" s="16"/>
      <c r="L27" s="1"/>
    </row>
    <row r="28" spans="1:12" x14ac:dyDescent="0.25">
      <c r="A28" s="15"/>
      <c r="B28" s="16"/>
      <c r="C28" s="16"/>
      <c r="D28" s="16"/>
      <c r="E28" s="16"/>
      <c r="F28" s="16"/>
      <c r="G28" s="16"/>
      <c r="H28" s="16"/>
      <c r="I28" s="16"/>
      <c r="J28" s="16"/>
      <c r="K28" s="16"/>
      <c r="L28" s="1"/>
    </row>
    <row r="29" spans="1:12" x14ac:dyDescent="0.25">
      <c r="A29" s="15"/>
      <c r="B29" s="16"/>
      <c r="C29" s="16"/>
      <c r="D29" s="16"/>
      <c r="E29" s="16"/>
      <c r="F29" s="16"/>
      <c r="G29" s="16"/>
      <c r="H29" s="16"/>
      <c r="I29" s="16"/>
      <c r="J29" s="16"/>
      <c r="K29" s="16"/>
      <c r="L29" s="1"/>
    </row>
    <row r="30" spans="1:12" x14ac:dyDescent="0.25">
      <c r="A30" s="15"/>
      <c r="B30" s="16"/>
      <c r="C30" s="16"/>
      <c r="D30" s="16"/>
      <c r="E30" s="16"/>
      <c r="F30" s="16"/>
      <c r="G30" s="16"/>
      <c r="H30" s="16"/>
      <c r="I30" s="16"/>
      <c r="J30" s="16"/>
      <c r="K30" s="16"/>
      <c r="L30" s="1"/>
    </row>
    <row r="31" spans="1:12" ht="13.8" thickBot="1" x14ac:dyDescent="0.3">
      <c r="A31" s="15"/>
      <c r="B31" s="16"/>
      <c r="C31" s="16"/>
      <c r="D31" s="16"/>
      <c r="E31" s="16"/>
      <c r="F31" s="16"/>
      <c r="G31" s="16"/>
      <c r="H31" s="16"/>
      <c r="I31" s="16"/>
      <c r="J31" s="16"/>
      <c r="K31" s="16"/>
      <c r="L31" s="1"/>
    </row>
    <row r="32" spans="1:12" x14ac:dyDescent="0.25">
      <c r="A32" s="15"/>
      <c r="B32" s="32" t="s">
        <v>0</v>
      </c>
      <c r="C32" s="10"/>
      <c r="D32" s="16"/>
      <c r="E32" s="16"/>
      <c r="F32" s="16"/>
      <c r="G32" s="16"/>
      <c r="H32" s="16"/>
      <c r="I32" s="16"/>
      <c r="J32" s="16"/>
      <c r="K32" s="16"/>
      <c r="L32" s="1"/>
    </row>
    <row r="33" spans="1:12" x14ac:dyDescent="0.25">
      <c r="A33" s="15"/>
      <c r="B33" s="8" t="s">
        <v>1</v>
      </c>
      <c r="C33" s="11"/>
      <c r="D33" s="16"/>
      <c r="E33" s="16"/>
      <c r="F33" s="16"/>
      <c r="G33" s="16"/>
      <c r="H33" s="16"/>
      <c r="I33" s="16"/>
      <c r="J33" s="16"/>
      <c r="K33" s="16"/>
      <c r="L33" s="1"/>
    </row>
    <row r="34" spans="1:12" x14ac:dyDescent="0.25">
      <c r="A34" s="15"/>
      <c r="B34" s="33" t="s">
        <v>118</v>
      </c>
      <c r="C34" s="96">
        <v>50</v>
      </c>
      <c r="D34" s="16"/>
      <c r="E34" s="16"/>
      <c r="F34" s="16"/>
      <c r="G34" s="16"/>
      <c r="H34" s="16"/>
      <c r="I34" s="16"/>
      <c r="J34" s="16"/>
      <c r="K34" s="16"/>
      <c r="L34" s="1"/>
    </row>
    <row r="35" spans="1:12" ht="15.6" x14ac:dyDescent="0.35">
      <c r="A35" s="15"/>
      <c r="B35" s="33" t="s">
        <v>2</v>
      </c>
      <c r="C35" s="96">
        <v>1000</v>
      </c>
      <c r="D35" s="16"/>
      <c r="E35" s="16"/>
      <c r="F35" s="16"/>
      <c r="G35" s="16"/>
      <c r="H35" s="16"/>
      <c r="I35" s="16"/>
      <c r="J35" s="16"/>
      <c r="K35" s="16"/>
      <c r="L35" s="1"/>
    </row>
    <row r="36" spans="1:12" x14ac:dyDescent="0.25">
      <c r="A36" s="15"/>
      <c r="B36" s="8" t="s">
        <v>4</v>
      </c>
      <c r="C36" s="12"/>
      <c r="D36" s="16"/>
      <c r="E36" s="16"/>
      <c r="F36" s="16"/>
      <c r="G36" s="16"/>
      <c r="H36" s="16"/>
      <c r="I36" s="16"/>
      <c r="J36" s="16"/>
      <c r="K36" s="16"/>
      <c r="L36" s="1"/>
    </row>
    <row r="37" spans="1:12" ht="15.6" x14ac:dyDescent="0.35">
      <c r="A37" s="15"/>
      <c r="B37" s="33" t="s">
        <v>21</v>
      </c>
      <c r="C37" s="96">
        <v>125000</v>
      </c>
      <c r="D37" s="16"/>
      <c r="E37" s="16"/>
      <c r="F37" s="16"/>
      <c r="G37" s="16"/>
      <c r="H37" s="16"/>
      <c r="I37" s="16"/>
      <c r="J37" s="16"/>
      <c r="K37" s="16"/>
      <c r="L37" s="1"/>
    </row>
    <row r="38" spans="1:12" ht="15.6" x14ac:dyDescent="0.35">
      <c r="A38" s="15"/>
      <c r="B38" s="33" t="s">
        <v>3</v>
      </c>
      <c r="C38" s="96">
        <v>0.35</v>
      </c>
      <c r="D38" s="16"/>
      <c r="E38" s="16"/>
      <c r="F38" s="16"/>
      <c r="G38" s="16"/>
      <c r="H38" s="16"/>
      <c r="I38" s="16"/>
      <c r="J38" s="16"/>
      <c r="K38" s="16"/>
      <c r="L38" s="1"/>
    </row>
    <row r="39" spans="1:12" ht="15.6" x14ac:dyDescent="0.35">
      <c r="A39" s="15"/>
      <c r="B39" s="33" t="s">
        <v>84</v>
      </c>
      <c r="C39" s="96"/>
      <c r="D39" s="16"/>
      <c r="E39" s="16"/>
      <c r="F39" s="16"/>
      <c r="G39" s="16"/>
      <c r="H39" s="16"/>
      <c r="I39" s="16"/>
      <c r="J39" s="16"/>
      <c r="K39" s="16"/>
      <c r="L39" s="1"/>
    </row>
    <row r="40" spans="1:12" ht="15.6" x14ac:dyDescent="0.35">
      <c r="A40" s="15"/>
      <c r="B40" s="33" t="s">
        <v>85</v>
      </c>
      <c r="C40" s="96"/>
      <c r="D40" s="16"/>
      <c r="E40" s="16"/>
      <c r="F40" s="16"/>
      <c r="G40" s="16"/>
      <c r="H40" s="16"/>
      <c r="I40" s="16"/>
      <c r="J40" s="16"/>
      <c r="K40" s="16"/>
      <c r="L40" s="1"/>
    </row>
    <row r="41" spans="1:12" ht="15.6" x14ac:dyDescent="0.35">
      <c r="A41" s="130">
        <f>IF($C$41&lt;=0,0,1)</f>
        <v>1</v>
      </c>
      <c r="B41" s="33" t="s">
        <v>6</v>
      </c>
      <c r="C41" s="96">
        <v>100</v>
      </c>
      <c r="D41" s="27" t="str">
        <f>IF(C41&lt;=0,"Cas impossible R2&lt;=0","")</f>
        <v/>
      </c>
      <c r="E41" s="16"/>
      <c r="F41" s="16"/>
      <c r="G41" s="16"/>
      <c r="H41" s="16"/>
      <c r="I41" s="16"/>
      <c r="J41" s="16"/>
      <c r="K41" s="16"/>
      <c r="L41" s="1"/>
    </row>
    <row r="42" spans="1:12" x14ac:dyDescent="0.25">
      <c r="A42" s="15"/>
      <c r="B42" s="8" t="s">
        <v>5</v>
      </c>
      <c r="C42" s="12"/>
      <c r="D42" s="16"/>
      <c r="E42" s="16"/>
      <c r="F42" s="16"/>
      <c r="G42" s="16"/>
      <c r="H42" s="16"/>
      <c r="I42" s="16"/>
      <c r="J42" s="16"/>
      <c r="K42" s="16"/>
      <c r="L42" s="1"/>
    </row>
    <row r="43" spans="1:12" ht="15.6" x14ac:dyDescent="0.35">
      <c r="A43" s="15"/>
      <c r="B43" s="33" t="s">
        <v>20</v>
      </c>
      <c r="C43" s="96">
        <v>130000</v>
      </c>
      <c r="D43" s="16"/>
      <c r="E43" s="16"/>
      <c r="F43" s="16"/>
      <c r="G43" s="16"/>
      <c r="H43" s="16"/>
      <c r="I43" s="16"/>
      <c r="J43" s="16"/>
      <c r="K43" s="16"/>
      <c r="L43" s="1"/>
    </row>
    <row r="44" spans="1:12" ht="15.6" x14ac:dyDescent="0.35">
      <c r="A44" s="15"/>
      <c r="B44" s="33" t="s">
        <v>19</v>
      </c>
      <c r="C44" s="96">
        <v>0.27829999999999999</v>
      </c>
      <c r="D44" s="16"/>
      <c r="E44" s="16"/>
      <c r="F44" s="16"/>
      <c r="G44" s="16"/>
      <c r="H44" s="16"/>
      <c r="I44" s="16"/>
      <c r="J44" s="16"/>
      <c r="K44" s="16"/>
      <c r="L44" s="1"/>
    </row>
    <row r="45" spans="1:12" ht="15.6" x14ac:dyDescent="0.35">
      <c r="A45" s="15"/>
      <c r="B45" s="33" t="s">
        <v>87</v>
      </c>
      <c r="C45" s="96"/>
      <c r="D45" s="16"/>
      <c r="E45" s="16"/>
      <c r="F45" s="16"/>
      <c r="G45" s="16"/>
      <c r="H45" s="16"/>
      <c r="I45" s="16"/>
      <c r="J45" s="16"/>
      <c r="K45" s="16"/>
      <c r="L45" s="1"/>
    </row>
    <row r="46" spans="1:12" ht="15.6" x14ac:dyDescent="0.35">
      <c r="A46" s="15"/>
      <c r="B46" s="33" t="s">
        <v>86</v>
      </c>
      <c r="C46" s="96"/>
      <c r="D46" s="16"/>
      <c r="E46" s="16"/>
      <c r="F46" s="16"/>
      <c r="G46" s="16"/>
      <c r="H46" s="16"/>
      <c r="I46" s="16"/>
      <c r="J46" s="16"/>
      <c r="K46" s="16"/>
      <c r="L46" s="1"/>
    </row>
    <row r="47" spans="1:12" ht="15.6" x14ac:dyDescent="0.35">
      <c r="A47" s="130">
        <f>IF(OR(ABS($C$47)&lt;=$C$41,C47=0),0,1)</f>
        <v>1</v>
      </c>
      <c r="B47" s="33" t="s">
        <v>18</v>
      </c>
      <c r="C47" s="131">
        <v>100000000000</v>
      </c>
      <c r="D47" s="27" t="str">
        <f>IF(C47=0,"Cas impossible R2=0",IF(ABS(C47)&lt;$C$41,"Cas impossible |R2|&lt;=R1",""))</f>
        <v/>
      </c>
      <c r="E47" s="16"/>
      <c r="F47" s="16"/>
      <c r="G47" s="16"/>
      <c r="H47" s="16"/>
      <c r="I47" s="16"/>
      <c r="J47" s="16"/>
      <c r="K47" s="16"/>
      <c r="L47" s="1"/>
    </row>
    <row r="48" spans="1:12" x14ac:dyDescent="0.25">
      <c r="A48" s="15"/>
      <c r="B48" s="34" t="s">
        <v>7</v>
      </c>
      <c r="C48" s="12"/>
      <c r="D48" s="16"/>
      <c r="E48" s="16"/>
      <c r="F48" s="16"/>
      <c r="G48" s="16"/>
      <c r="H48" s="16"/>
      <c r="I48" s="16"/>
      <c r="J48" s="16"/>
      <c r="K48" s="16"/>
      <c r="L48" s="1"/>
    </row>
    <row r="49" spans="1:12" x14ac:dyDescent="0.25">
      <c r="A49" s="15"/>
      <c r="B49" s="8" t="s">
        <v>1</v>
      </c>
      <c r="C49" s="13"/>
      <c r="D49" s="16"/>
      <c r="E49" s="16"/>
      <c r="F49" s="16"/>
      <c r="G49" s="16"/>
      <c r="H49" s="16"/>
      <c r="I49" s="16"/>
      <c r="J49" s="16"/>
      <c r="K49" s="16"/>
      <c r="L49" s="1"/>
    </row>
    <row r="50" spans="1:12" x14ac:dyDescent="0.25">
      <c r="A50" s="15"/>
      <c r="B50" s="35" t="s">
        <v>9</v>
      </c>
      <c r="C50" s="106">
        <f>IF(OR(A41=0,A47=0),"",SQRT(4*(C35/C34)*C70*(C71+C72)))</f>
        <v>0.18959813432224545</v>
      </c>
      <c r="D50" s="16"/>
      <c r="E50" s="16"/>
      <c r="F50" s="16"/>
      <c r="G50" s="16"/>
      <c r="H50" s="16"/>
      <c r="I50" s="16"/>
      <c r="J50" s="16"/>
      <c r="K50" s="16"/>
      <c r="L50" s="1"/>
    </row>
    <row r="51" spans="1:12" ht="15.6" x14ac:dyDescent="0.35">
      <c r="A51" s="15"/>
      <c r="B51" s="35" t="s">
        <v>79</v>
      </c>
      <c r="C51" s="105">
        <f>IF(OR(A41=0,A47=0),"",(2*C35)/(PI()*C34*C50))</f>
        <v>67.15464523354089</v>
      </c>
      <c r="D51" s="16"/>
      <c r="E51" s="16"/>
      <c r="F51" s="16"/>
      <c r="G51" s="16"/>
      <c r="H51" s="16"/>
      <c r="I51" s="16"/>
      <c r="J51" s="16"/>
      <c r="K51" s="16"/>
      <c r="L51" s="1"/>
    </row>
    <row r="52" spans="1:12" ht="15.6" x14ac:dyDescent="0.35">
      <c r="A52" s="15"/>
      <c r="B52" s="35" t="s">
        <v>10</v>
      </c>
      <c r="C52" s="105">
        <f>IF(OR(A41=0,A47=0),"",C35/(2*C34*C50))</f>
        <v>52.743135030030224</v>
      </c>
      <c r="D52" s="16"/>
      <c r="E52" s="16"/>
      <c r="F52" s="16"/>
      <c r="G52" s="16"/>
      <c r="H52" s="16"/>
      <c r="I52" s="16"/>
      <c r="J52" s="16"/>
      <c r="K52" s="16"/>
      <c r="L52" s="1"/>
    </row>
    <row r="53" spans="1:12" ht="13.8" x14ac:dyDescent="0.3">
      <c r="A53" s="15"/>
      <c r="B53" s="35" t="s">
        <v>11</v>
      </c>
      <c r="C53" s="112"/>
      <c r="D53" s="16"/>
      <c r="E53" s="16"/>
      <c r="F53" s="16"/>
      <c r="G53" s="16"/>
      <c r="H53" s="16"/>
      <c r="I53" s="16"/>
      <c r="J53" s="16"/>
      <c r="K53" s="16"/>
      <c r="L53" s="1"/>
    </row>
    <row r="54" spans="1:12" ht="15.6" x14ac:dyDescent="0.35">
      <c r="A54" s="15"/>
      <c r="B54" s="35" t="s">
        <v>35</v>
      </c>
      <c r="C54" s="112"/>
      <c r="D54" s="16"/>
      <c r="E54" s="16"/>
      <c r="F54" s="16"/>
      <c r="G54" s="16"/>
      <c r="H54" s="16"/>
      <c r="I54" s="16"/>
      <c r="J54" s="16"/>
      <c r="K54" s="16"/>
      <c r="L54" s="1"/>
    </row>
    <row r="55" spans="1:12" x14ac:dyDescent="0.25">
      <c r="A55" s="15"/>
      <c r="B55" s="8" t="s">
        <v>4</v>
      </c>
      <c r="C55" s="107"/>
      <c r="D55" s="16"/>
      <c r="E55" s="16"/>
      <c r="F55" s="16"/>
      <c r="G55" s="16"/>
      <c r="H55" s="16"/>
      <c r="I55" s="16"/>
      <c r="J55" s="16"/>
      <c r="K55" s="16"/>
      <c r="L55" s="1"/>
    </row>
    <row r="56" spans="1:12" ht="15.6" x14ac:dyDescent="0.35">
      <c r="A56" s="15"/>
      <c r="B56" s="35" t="s">
        <v>12</v>
      </c>
      <c r="C56" s="105">
        <f>IF(OR(A41=0,A47=0),"",-$C$51)</f>
        <v>-67.15464523354089</v>
      </c>
      <c r="D56" s="27" t="str">
        <f>IF(C50="","",IF(ABS(C64)&gt;$C$39,"Limite élastique dépassée",""))</f>
        <v>Limite élastique dépassée</v>
      </c>
      <c r="E56" s="16"/>
      <c r="F56" s="16"/>
      <c r="G56" s="16"/>
      <c r="H56" s="16"/>
      <c r="I56" s="16"/>
      <c r="J56" s="16"/>
      <c r="K56" s="16"/>
      <c r="L56" s="1"/>
    </row>
    <row r="57" spans="1:12" ht="15.6" x14ac:dyDescent="0.35">
      <c r="A57" s="15"/>
      <c r="B57" s="35" t="s">
        <v>13</v>
      </c>
      <c r="C57" s="105">
        <f>IF(OR(A41=0,A47=0),"",-$C$51)</f>
        <v>-67.15464523354089</v>
      </c>
      <c r="D57" s="27" t="str">
        <f>IF(C50="","",IF(ABS(C65)&gt;$C$39,"Limite élastique dépassée",""))</f>
        <v>Limite élastique dépassée</v>
      </c>
      <c r="E57" s="16"/>
      <c r="F57" s="16"/>
      <c r="G57" s="16"/>
      <c r="H57" s="16"/>
      <c r="I57" s="16"/>
      <c r="J57" s="16"/>
      <c r="K57" s="16"/>
      <c r="L57" s="1"/>
    </row>
    <row r="58" spans="1:12" ht="15.6" x14ac:dyDescent="0.35">
      <c r="A58" s="15"/>
      <c r="B58" s="35" t="s">
        <v>14</v>
      </c>
      <c r="C58" s="105">
        <f>IF(OR(A41=0,A47=0),"",-2*$C$38*$C$51)</f>
        <v>-47.008251663478617</v>
      </c>
      <c r="D58" s="27" t="str">
        <f>IF(C50="","",IF(ABS(C66)&gt;$C$39,"Limite élastique dépassée",""))</f>
        <v>Limite élastique dépassée</v>
      </c>
      <c r="E58" s="16"/>
      <c r="F58" s="16"/>
      <c r="G58" s="16"/>
      <c r="H58" s="16"/>
      <c r="I58" s="16"/>
      <c r="J58" s="16"/>
      <c r="K58" s="16"/>
      <c r="L58" s="1"/>
    </row>
    <row r="59" spans="1:12" ht="15.6" x14ac:dyDescent="0.35">
      <c r="A59" s="15"/>
      <c r="B59" s="35" t="s">
        <v>91</v>
      </c>
      <c r="C59" s="105">
        <f>IF(OR(A41=0,A47=0),"",-0.5*(1-2*$C$38)*$C$51)</f>
        <v>-10.073196785031135</v>
      </c>
      <c r="D59" s="27" t="str">
        <f>IF(C50="","",IF(ABS(C59)&gt;$C$40,"Limite en cisaillement dépassée",""))</f>
        <v>Limite en cisaillement dépassée</v>
      </c>
      <c r="E59" s="16"/>
      <c r="F59" s="16"/>
      <c r="G59" s="16"/>
      <c r="H59" s="16"/>
      <c r="I59" s="16"/>
      <c r="J59" s="16"/>
      <c r="K59" s="16"/>
      <c r="L59" s="1"/>
    </row>
    <row r="60" spans="1:12" ht="15.6" x14ac:dyDescent="0.35">
      <c r="A60" s="15"/>
      <c r="B60" s="35" t="s">
        <v>90</v>
      </c>
      <c r="C60" s="108">
        <f>IF(OR(A41=0,A47=0),"",0.3*$C$51)</f>
        <v>20.146393570062266</v>
      </c>
      <c r="D60" s="27" t="str">
        <f>IF(C50="","",IF(ABS(C60)&gt;$C$40,"Limite en cisaillement dépassée",""))</f>
        <v>Limite en cisaillement dépassée</v>
      </c>
      <c r="E60" s="16"/>
      <c r="F60" s="16"/>
      <c r="G60" s="16"/>
      <c r="H60" s="16"/>
      <c r="I60" s="16"/>
      <c r="J60" s="16"/>
      <c r="K60" s="16"/>
      <c r="L60" s="1"/>
    </row>
    <row r="61" spans="1:12" ht="15.6" x14ac:dyDescent="0.35">
      <c r="A61" s="15"/>
      <c r="B61" s="35" t="s">
        <v>52</v>
      </c>
      <c r="C61" s="104">
        <f>IF(OR(A41=0,A47=0),"",0.7861*$C$50)</f>
        <v>0.14904309339071717</v>
      </c>
      <c r="D61" s="16"/>
      <c r="E61" s="16"/>
      <c r="F61" s="16"/>
      <c r="G61" s="16"/>
      <c r="H61" s="16"/>
      <c r="I61" s="16"/>
      <c r="J61" s="16"/>
      <c r="K61" s="16"/>
      <c r="L61" s="1"/>
    </row>
    <row r="62" spans="1:12" x14ac:dyDescent="0.25">
      <c r="A62" s="15"/>
      <c r="B62" s="14" t="s">
        <v>5</v>
      </c>
      <c r="C62" s="107"/>
      <c r="D62" s="16"/>
      <c r="E62" s="16"/>
      <c r="F62" s="16"/>
      <c r="G62" s="16"/>
      <c r="H62" s="16"/>
      <c r="I62" s="16"/>
      <c r="J62" s="16"/>
      <c r="K62" s="16"/>
      <c r="L62" s="1"/>
    </row>
    <row r="63" spans="1:12" ht="15.6" x14ac:dyDescent="0.35">
      <c r="A63" s="15"/>
      <c r="B63" s="35" t="s">
        <v>15</v>
      </c>
      <c r="C63" s="108">
        <f>IF(OR(A41=0,A47=0),"",-$C$51)</f>
        <v>-67.15464523354089</v>
      </c>
      <c r="D63" s="27" t="str">
        <f>IF(C50="","",IF(ABS(C63)&gt;$C$45,"Limite élastique dépassée",""))</f>
        <v>Limite élastique dépassée</v>
      </c>
      <c r="E63" s="16"/>
      <c r="F63" s="16"/>
      <c r="G63" s="16"/>
      <c r="H63" s="16"/>
      <c r="I63" s="16"/>
      <c r="J63" s="16"/>
      <c r="K63" s="16"/>
      <c r="L63" s="1"/>
    </row>
    <row r="64" spans="1:12" ht="15.6" x14ac:dyDescent="0.35">
      <c r="A64" s="15"/>
      <c r="B64" s="35" t="s">
        <v>16</v>
      </c>
      <c r="C64" s="105">
        <f>IF(OR(A41=0,A47=0),"",-$C$51)</f>
        <v>-67.15464523354089</v>
      </c>
      <c r="D64" s="27" t="str">
        <f>IF(C50="","",IF(ABS(C64)&gt;$C$45,"Limite élastique dépassée",""))</f>
        <v>Limite élastique dépassée</v>
      </c>
      <c r="E64" s="16"/>
      <c r="F64" s="16"/>
      <c r="G64" s="16"/>
      <c r="H64" s="16"/>
      <c r="I64" s="16"/>
      <c r="J64" s="16"/>
      <c r="K64" s="16"/>
      <c r="L64" s="1"/>
    </row>
    <row r="65" spans="1:14" ht="15.6" x14ac:dyDescent="0.35">
      <c r="A65" s="15"/>
      <c r="B65" s="35" t="s">
        <v>17</v>
      </c>
      <c r="C65" s="105">
        <f>IF(OR(A41=0,A47=0),"",-2*$C$44*$C$51)</f>
        <v>-37.378275536988859</v>
      </c>
      <c r="D65" s="27" t="str">
        <f>IF(C50="","",IF(ABS(C65)&gt;$C$45,"Limite élastique dépassée",""))</f>
        <v>Limite élastique dépassée</v>
      </c>
      <c r="E65" s="16"/>
      <c r="F65" s="16"/>
      <c r="G65" s="16"/>
      <c r="H65" s="16"/>
      <c r="I65" s="16"/>
      <c r="J65" s="16"/>
      <c r="K65" s="16"/>
      <c r="L65" s="1"/>
    </row>
    <row r="66" spans="1:14" ht="15.6" x14ac:dyDescent="0.35">
      <c r="A66" s="15"/>
      <c r="B66" s="35" t="s">
        <v>88</v>
      </c>
      <c r="C66" s="105">
        <f>IF(OR(A41=0,A47=0),"",-0.5*(1-2*$C$44)*$C$51)</f>
        <v>-14.888184848276016</v>
      </c>
      <c r="D66" s="27" t="str">
        <f>IF(C50="","",IF(ABS(C66)&gt;$C$46,"Limite en cisaillement dépassée",""))</f>
        <v>Limite en cisaillement dépassée</v>
      </c>
      <c r="E66" s="16"/>
      <c r="F66" s="16"/>
      <c r="G66" s="16"/>
      <c r="H66" s="16"/>
      <c r="I66" s="16"/>
      <c r="J66" s="16"/>
      <c r="K66" s="16"/>
      <c r="L66" s="1"/>
    </row>
    <row r="67" spans="1:14" ht="15.6" x14ac:dyDescent="0.35">
      <c r="A67" s="15"/>
      <c r="B67" s="36" t="s">
        <v>89</v>
      </c>
      <c r="C67" s="105">
        <f>IF(OR(A41=0,A47=0),"",0.3*$C$51)</f>
        <v>20.146393570062266</v>
      </c>
      <c r="D67" s="27" t="str">
        <f>IF(C50="","",IF(ABS(C67)&gt;$C$46,"Limite en cisaillement dépassée",""))</f>
        <v>Limite en cisaillement dépassée</v>
      </c>
      <c r="E67" s="16"/>
      <c r="F67" s="16"/>
      <c r="G67" s="16"/>
      <c r="H67" s="16"/>
      <c r="I67" s="16"/>
      <c r="J67" s="16"/>
      <c r="K67" s="16"/>
      <c r="L67" s="1"/>
    </row>
    <row r="68" spans="1:14" ht="15.6" x14ac:dyDescent="0.35">
      <c r="A68" s="15"/>
      <c r="B68" s="93" t="s">
        <v>53</v>
      </c>
      <c r="C68" s="104">
        <f>IF(OR(A41=0,A47=0),"",0.7861*$C$50)</f>
        <v>0.14904309339071717</v>
      </c>
      <c r="D68" s="16"/>
      <c r="E68" s="16"/>
      <c r="F68" s="16"/>
      <c r="G68" s="16"/>
      <c r="H68" s="16"/>
      <c r="I68" s="16"/>
      <c r="J68" s="16"/>
      <c r="K68" s="16"/>
      <c r="L68" s="1"/>
    </row>
    <row r="69" spans="1:14" x14ac:dyDescent="0.25">
      <c r="A69" s="15"/>
      <c r="B69" s="95" t="s">
        <v>78</v>
      </c>
      <c r="C69" s="113"/>
      <c r="D69" s="16"/>
      <c r="E69" s="16"/>
      <c r="F69" s="16"/>
      <c r="G69" s="16"/>
      <c r="H69" s="16"/>
      <c r="I69" s="16"/>
      <c r="J69" s="16"/>
      <c r="K69" s="16"/>
      <c r="L69" s="1"/>
    </row>
    <row r="70" spans="1:14" ht="15.6" x14ac:dyDescent="0.35">
      <c r="A70" s="15"/>
      <c r="B70" s="35" t="s">
        <v>8</v>
      </c>
      <c r="C70" s="114">
        <f>IF(OR(A41=0,A47=0),"",(C41*C47)/(C41+C47))</f>
        <v>99.999999900000006</v>
      </c>
      <c r="D70" s="16"/>
      <c r="E70" s="16"/>
      <c r="F70" s="16"/>
      <c r="G70" s="16"/>
      <c r="H70" s="16"/>
      <c r="I70" s="16"/>
      <c r="J70" s="16"/>
      <c r="K70" s="16"/>
      <c r="L70" s="1"/>
    </row>
    <row r="71" spans="1:14" ht="15.6" x14ac:dyDescent="0.35">
      <c r="A71" s="15"/>
      <c r="B71" s="94" t="s">
        <v>82</v>
      </c>
      <c r="C71" s="115">
        <f>IF(OR(A41=0,A47=0),"",(1-C38^2)/(PI()*C37))</f>
        <v>2.2345354010102109E-6</v>
      </c>
      <c r="D71" s="16"/>
      <c r="E71" s="16"/>
      <c r="F71" s="16"/>
      <c r="G71" s="16"/>
      <c r="H71" s="16"/>
      <c r="I71" s="16"/>
      <c r="J71" s="16"/>
      <c r="K71" s="16"/>
      <c r="L71" s="1"/>
    </row>
    <row r="72" spans="1:14" ht="16.2" thickBot="1" x14ac:dyDescent="0.4">
      <c r="A72" s="15"/>
      <c r="B72" s="37" t="s">
        <v>83</v>
      </c>
      <c r="C72" s="116">
        <f>IF(OR(A41=0,A47=0),"",(1-C44^2)/(PI()*C43))</f>
        <v>2.2588961707927491E-6</v>
      </c>
      <c r="D72" s="16"/>
      <c r="E72" s="16"/>
      <c r="F72" s="16"/>
      <c r="G72" s="16"/>
      <c r="H72" s="16"/>
      <c r="I72" s="16"/>
      <c r="J72" s="16"/>
      <c r="K72" s="16"/>
      <c r="L72" s="1"/>
    </row>
    <row r="73" spans="1:14" ht="13.8" x14ac:dyDescent="0.3">
      <c r="A73" s="15"/>
      <c r="B73" s="16"/>
      <c r="C73" s="16"/>
      <c r="D73" s="16"/>
      <c r="E73" s="16"/>
      <c r="F73" s="16"/>
      <c r="G73" s="16"/>
      <c r="H73" s="16"/>
      <c r="I73" s="16"/>
      <c r="J73" s="16"/>
      <c r="K73" s="16"/>
      <c r="L73" s="1"/>
      <c r="N73" s="92"/>
    </row>
    <row r="74" spans="1:14" x14ac:dyDescent="0.25">
      <c r="A74" s="15"/>
      <c r="B74" s="16"/>
      <c r="C74" s="16"/>
      <c r="D74" s="16"/>
      <c r="E74" s="16"/>
      <c r="F74" s="16"/>
      <c r="G74" s="16"/>
      <c r="H74" s="16"/>
      <c r="I74" s="16"/>
      <c r="J74" s="16"/>
      <c r="K74" s="16"/>
      <c r="L74" s="1"/>
    </row>
    <row r="75" spans="1:14" x14ac:dyDescent="0.25">
      <c r="A75" s="15"/>
      <c r="B75" s="16"/>
      <c r="C75" s="16"/>
      <c r="D75" s="16"/>
      <c r="E75" s="16"/>
      <c r="F75" s="16"/>
      <c r="G75" s="16"/>
      <c r="H75" s="16"/>
      <c r="I75" s="16"/>
      <c r="J75" s="16"/>
      <c r="K75" s="16"/>
      <c r="L75" s="1"/>
    </row>
    <row r="76" spans="1:14" x14ac:dyDescent="0.25">
      <c r="A76" s="15"/>
      <c r="B76" s="16"/>
      <c r="C76" s="16"/>
      <c r="D76" s="16"/>
      <c r="E76" s="16"/>
      <c r="F76" s="16"/>
      <c r="G76" s="16"/>
      <c r="H76" s="16"/>
      <c r="I76" s="16"/>
      <c r="J76" s="16"/>
      <c r="K76" s="16"/>
      <c r="L76" s="1"/>
    </row>
    <row r="77" spans="1:14" x14ac:dyDescent="0.25">
      <c r="A77" s="15"/>
      <c r="B77" s="16"/>
      <c r="C77" s="16"/>
      <c r="D77" s="16"/>
      <c r="E77" s="16"/>
      <c r="F77" s="16"/>
      <c r="G77" s="16"/>
      <c r="H77" s="16"/>
      <c r="I77" s="16"/>
      <c r="J77" s="16"/>
      <c r="K77" s="16"/>
      <c r="L77" s="1"/>
    </row>
    <row r="78" spans="1:14" x14ac:dyDescent="0.25">
      <c r="A78" s="15"/>
      <c r="B78" s="16"/>
      <c r="C78" s="16"/>
      <c r="D78" s="16"/>
      <c r="E78" s="16"/>
      <c r="F78" s="16"/>
      <c r="G78" s="16"/>
      <c r="H78" s="16"/>
      <c r="I78" s="16"/>
      <c r="J78" s="16"/>
      <c r="K78" s="16"/>
      <c r="L78" s="1"/>
    </row>
    <row r="79" spans="1:14" x14ac:dyDescent="0.25">
      <c r="A79" s="15"/>
      <c r="B79" s="16"/>
      <c r="C79" s="16"/>
      <c r="D79" s="16"/>
      <c r="E79" s="16"/>
      <c r="F79" s="16"/>
      <c r="G79" s="16"/>
      <c r="H79" s="16"/>
      <c r="I79" s="16"/>
      <c r="J79" s="16"/>
      <c r="K79" s="16"/>
      <c r="L79" s="1"/>
    </row>
    <row r="80" spans="1:14" x14ac:dyDescent="0.25">
      <c r="A80" s="15"/>
      <c r="B80" s="16"/>
      <c r="C80" s="16"/>
      <c r="D80" s="16"/>
      <c r="E80" s="16"/>
      <c r="F80" s="16"/>
      <c r="G80" s="16"/>
      <c r="H80" s="16"/>
      <c r="I80" s="16"/>
      <c r="J80" s="16"/>
      <c r="K80" s="16"/>
      <c r="L80" s="1"/>
    </row>
    <row r="81" spans="1:12" x14ac:dyDescent="0.25">
      <c r="A81" s="15"/>
      <c r="B81" s="16"/>
      <c r="C81" s="16"/>
      <c r="D81" s="16"/>
      <c r="E81" s="16"/>
      <c r="F81" s="16"/>
      <c r="G81" s="16"/>
      <c r="H81" s="16"/>
      <c r="I81" s="16"/>
      <c r="J81" s="16"/>
      <c r="K81" s="16"/>
      <c r="L81" s="1"/>
    </row>
    <row r="82" spans="1:12" x14ac:dyDescent="0.25">
      <c r="A82" s="15"/>
      <c r="B82" s="16"/>
      <c r="C82" s="16"/>
      <c r="D82" s="16"/>
      <c r="E82" s="16"/>
      <c r="F82" s="16"/>
      <c r="G82" s="16"/>
      <c r="H82" s="16"/>
      <c r="I82" s="16"/>
      <c r="J82" s="16"/>
      <c r="K82" s="16"/>
      <c r="L82" s="1"/>
    </row>
    <row r="83" spans="1:12" x14ac:dyDescent="0.25">
      <c r="A83" s="15"/>
      <c r="B83" s="16"/>
      <c r="C83" s="16"/>
      <c r="D83" s="16"/>
      <c r="E83" s="16"/>
      <c r="F83" s="16"/>
      <c r="G83" s="16"/>
      <c r="H83" s="16"/>
      <c r="I83" s="16"/>
      <c r="J83" s="16"/>
      <c r="K83" s="16"/>
      <c r="L83" s="1"/>
    </row>
    <row r="84" spans="1:12" x14ac:dyDescent="0.25">
      <c r="A84" s="15"/>
      <c r="B84" s="16"/>
      <c r="C84" s="16"/>
      <c r="D84" s="16"/>
      <c r="E84" s="16"/>
      <c r="F84" s="16"/>
      <c r="G84" s="16"/>
      <c r="H84" s="16"/>
      <c r="I84" s="16"/>
      <c r="J84" s="16"/>
      <c r="K84" s="16"/>
      <c r="L84" s="1"/>
    </row>
    <row r="85" spans="1:12" x14ac:dyDescent="0.25">
      <c r="A85" s="15"/>
      <c r="B85" s="16"/>
      <c r="C85" s="16"/>
      <c r="D85" s="16"/>
      <c r="E85" s="16"/>
      <c r="F85" s="16"/>
      <c r="G85" s="16"/>
      <c r="H85" s="16"/>
      <c r="I85" s="16"/>
      <c r="J85" s="16"/>
      <c r="K85" s="16"/>
      <c r="L85" s="1"/>
    </row>
    <row r="86" spans="1:12" x14ac:dyDescent="0.25">
      <c r="A86" s="15"/>
      <c r="B86" s="16"/>
      <c r="C86" s="16"/>
      <c r="D86" s="16"/>
      <c r="E86" s="16"/>
      <c r="F86" s="16"/>
      <c r="G86" s="16"/>
      <c r="H86" s="16"/>
      <c r="I86" s="16"/>
      <c r="J86" s="16"/>
      <c r="K86" s="16"/>
      <c r="L86" s="1"/>
    </row>
    <row r="87" spans="1:12" x14ac:dyDescent="0.25">
      <c r="A87" s="15"/>
      <c r="B87" s="16"/>
      <c r="C87" s="16"/>
      <c r="D87" s="16"/>
      <c r="E87" s="16"/>
      <c r="F87" s="16"/>
      <c r="G87" s="16"/>
      <c r="H87" s="16"/>
      <c r="I87" s="16"/>
      <c r="J87" s="16"/>
      <c r="K87" s="16"/>
      <c r="L87" s="1"/>
    </row>
    <row r="88" spans="1:12" x14ac:dyDescent="0.25">
      <c r="A88" s="15"/>
      <c r="B88" s="16"/>
      <c r="C88" s="16"/>
      <c r="D88" s="16"/>
      <c r="E88" s="16"/>
      <c r="F88" s="16"/>
      <c r="G88" s="16"/>
      <c r="H88" s="16"/>
      <c r="I88" s="16"/>
      <c r="J88" s="16"/>
      <c r="K88" s="16"/>
      <c r="L88" s="1"/>
    </row>
    <row r="89" spans="1:12" x14ac:dyDescent="0.25">
      <c r="A89" s="15"/>
      <c r="B89" s="16"/>
      <c r="C89" s="16"/>
      <c r="D89" s="16"/>
      <c r="E89" s="16"/>
      <c r="F89" s="16"/>
      <c r="G89" s="16"/>
      <c r="H89" s="16"/>
      <c r="I89" s="16"/>
      <c r="J89" s="16"/>
      <c r="K89" s="16"/>
      <c r="L89" s="1"/>
    </row>
    <row r="90" spans="1:12" x14ac:dyDescent="0.25">
      <c r="A90" s="15"/>
      <c r="B90" s="16"/>
      <c r="C90" s="16"/>
      <c r="D90" s="16"/>
      <c r="E90" s="16"/>
      <c r="F90" s="16"/>
      <c r="G90" s="16"/>
      <c r="H90" s="16"/>
      <c r="I90" s="16"/>
      <c r="J90" s="16"/>
      <c r="K90" s="16"/>
      <c r="L90" s="1"/>
    </row>
    <row r="91" spans="1:12" x14ac:dyDescent="0.25">
      <c r="A91" s="15"/>
      <c r="B91" s="16"/>
      <c r="C91" s="16"/>
      <c r="D91" s="16"/>
      <c r="E91" s="16"/>
      <c r="F91" s="16"/>
      <c r="G91" s="16"/>
      <c r="H91" s="16"/>
      <c r="I91" s="16"/>
      <c r="J91" s="16"/>
      <c r="K91" s="16"/>
      <c r="L91" s="1"/>
    </row>
    <row r="92" spans="1:12" x14ac:dyDescent="0.25">
      <c r="A92" s="15"/>
      <c r="B92" s="16"/>
      <c r="C92" s="16"/>
      <c r="D92" s="16"/>
      <c r="E92" s="16"/>
      <c r="F92" s="16"/>
      <c r="G92" s="16"/>
      <c r="H92" s="16"/>
      <c r="I92" s="16"/>
      <c r="J92" s="16"/>
      <c r="K92" s="16"/>
      <c r="L92" s="1"/>
    </row>
    <row r="93" spans="1:12" x14ac:dyDescent="0.25">
      <c r="A93" s="15"/>
      <c r="B93" s="16"/>
      <c r="C93" s="16"/>
      <c r="D93" s="16"/>
      <c r="E93" s="16"/>
      <c r="F93" s="16"/>
      <c r="G93" s="16"/>
      <c r="H93" s="16"/>
      <c r="I93" s="16"/>
      <c r="J93" s="16"/>
      <c r="K93" s="16"/>
      <c r="L93" s="1"/>
    </row>
    <row r="94" spans="1:12" x14ac:dyDescent="0.25">
      <c r="A94" s="15"/>
      <c r="B94" s="16"/>
      <c r="C94" s="16"/>
      <c r="D94" s="16"/>
      <c r="E94" s="16"/>
      <c r="F94" s="16"/>
      <c r="G94" s="16"/>
      <c r="H94" s="16"/>
      <c r="I94" s="16"/>
      <c r="J94" s="16"/>
      <c r="K94" s="16"/>
      <c r="L94" s="1"/>
    </row>
    <row r="95" spans="1:12" x14ac:dyDescent="0.25">
      <c r="A95" s="15"/>
      <c r="B95" s="16"/>
      <c r="C95" s="16"/>
      <c r="D95" s="16"/>
      <c r="E95" s="16"/>
      <c r="F95" s="16"/>
      <c r="G95" s="16"/>
      <c r="H95" s="16"/>
      <c r="I95" s="16"/>
      <c r="J95" s="16"/>
      <c r="K95" s="16"/>
      <c r="L95" s="1"/>
    </row>
    <row r="96" spans="1:12" x14ac:dyDescent="0.25">
      <c r="A96" s="15"/>
      <c r="B96" s="16"/>
      <c r="C96" s="16"/>
      <c r="D96" s="16"/>
      <c r="E96" s="16"/>
      <c r="F96" s="16"/>
      <c r="G96" s="16"/>
      <c r="H96" s="16"/>
      <c r="I96" s="16"/>
      <c r="J96" s="16"/>
      <c r="K96" s="16"/>
      <c r="L96" s="1"/>
    </row>
    <row r="97" spans="1:15" x14ac:dyDescent="0.25">
      <c r="A97" s="15"/>
      <c r="B97" s="16"/>
      <c r="C97" s="16"/>
      <c r="D97" s="16"/>
      <c r="E97" s="16"/>
      <c r="F97" s="16"/>
      <c r="G97" s="16"/>
      <c r="H97" s="16"/>
      <c r="I97" s="16"/>
      <c r="J97" s="16"/>
      <c r="K97" s="16"/>
      <c r="L97" s="1"/>
    </row>
    <row r="98" spans="1:15" x14ac:dyDescent="0.25">
      <c r="A98" s="99"/>
      <c r="B98" s="100"/>
      <c r="C98" s="100"/>
      <c r="D98" s="100"/>
      <c r="E98" s="100"/>
      <c r="F98" s="100"/>
      <c r="G98" s="100"/>
      <c r="H98" s="100"/>
      <c r="I98" s="101" t="s">
        <v>43</v>
      </c>
      <c r="J98" s="155" t="str">
        <f ca="1">MID(CELL("filename",A1),FIND("[",CELL("filename",A1))+1,SUM(FIND({"[";"]"},CELL("filename",A1))*{-1;1})-1)</f>
        <v>calcul-de-hertz-V3.xlsx</v>
      </c>
      <c r="K98" s="155"/>
      <c r="L98" s="102"/>
    </row>
    <row r="99" spans="1:15" x14ac:dyDescent="0.25">
      <c r="A99" s="99"/>
      <c r="B99" s="100"/>
      <c r="C99" s="100"/>
      <c r="D99" s="100"/>
      <c r="E99" s="100"/>
      <c r="F99" s="100"/>
      <c r="G99" s="100"/>
      <c r="H99" s="100"/>
      <c r="I99" s="101" t="s">
        <v>44</v>
      </c>
      <c r="J99" s="156">
        <f>GENERAL!L45</f>
        <v>42515</v>
      </c>
      <c r="K99" s="156"/>
      <c r="L99" s="102"/>
    </row>
    <row r="100" spans="1:15" ht="13.8" thickBot="1" x14ac:dyDescent="0.3">
      <c r="A100" s="148" t="s">
        <v>42</v>
      </c>
      <c r="B100" s="149"/>
      <c r="C100" s="149"/>
      <c r="D100" s="149"/>
      <c r="E100" s="149"/>
      <c r="F100" s="149"/>
      <c r="G100" s="149"/>
      <c r="H100" s="149"/>
      <c r="I100" s="149"/>
      <c r="J100" s="149"/>
      <c r="K100" s="149"/>
      <c r="L100" s="150"/>
    </row>
    <row r="101" spans="1:15" x14ac:dyDescent="0.25">
      <c r="A101" s="16"/>
      <c r="B101" s="16"/>
      <c r="C101" s="16"/>
      <c r="D101" s="16"/>
      <c r="E101" s="16"/>
      <c r="F101" s="16"/>
      <c r="G101" s="16"/>
      <c r="H101" s="16"/>
      <c r="I101" s="16"/>
      <c r="J101" s="16"/>
      <c r="K101" s="16"/>
      <c r="L101" s="16"/>
    </row>
    <row r="110" spans="1:15" ht="13.8" thickBot="1" x14ac:dyDescent="0.3"/>
    <row r="111" spans="1:15" x14ac:dyDescent="0.25">
      <c r="D111" s="162" t="s">
        <v>24</v>
      </c>
      <c r="E111" s="163"/>
      <c r="F111" s="164" t="s">
        <v>36</v>
      </c>
      <c r="G111" s="164"/>
      <c r="H111" s="164"/>
      <c r="I111" s="164"/>
      <c r="J111" s="164"/>
      <c r="K111" s="164"/>
      <c r="L111" s="164"/>
      <c r="M111" s="164"/>
      <c r="N111" s="164"/>
      <c r="O111" s="163"/>
    </row>
    <row r="112" spans="1:15" ht="15.6" x14ac:dyDescent="0.35">
      <c r="D112" s="20" t="s">
        <v>23</v>
      </c>
      <c r="E112" s="26" t="s">
        <v>22</v>
      </c>
      <c r="F112" s="17" t="s">
        <v>26</v>
      </c>
      <c r="G112" s="17" t="s">
        <v>27</v>
      </c>
      <c r="H112" s="17" t="s">
        <v>29</v>
      </c>
      <c r="I112" s="17" t="s">
        <v>30</v>
      </c>
      <c r="J112" s="17" t="s">
        <v>31</v>
      </c>
      <c r="K112" s="17" t="s">
        <v>32</v>
      </c>
      <c r="L112" s="17" t="s">
        <v>33</v>
      </c>
      <c r="M112" s="17" t="s">
        <v>34</v>
      </c>
      <c r="N112" s="17" t="s">
        <v>25</v>
      </c>
      <c r="O112" s="26" t="s">
        <v>28</v>
      </c>
    </row>
    <row r="113" spans="4:15" x14ac:dyDescent="0.25">
      <c r="D113" s="21">
        <f t="shared" ref="D113:D142" si="0">($C$35/($C$34*$C$50)*(2/PI())*SQRT(1-(E113^2)/($C$50^2)))</f>
        <v>67.154645233540904</v>
      </c>
      <c r="E113" s="22">
        <v>0</v>
      </c>
      <c r="F113" s="18">
        <f>-$C$51*(((SQRT(1+(N113/$C$50)^2)-N113/$C$50)^2)/SQRT(1+(N113/$C$50)^2))</f>
        <v>-67.15464523354089</v>
      </c>
      <c r="G113" s="18">
        <f>-F113/$C$51</f>
        <v>1</v>
      </c>
      <c r="H113" s="18">
        <f t="shared" ref="H113:H142" si="1">-2*$C$44*$C$51*(SQRT(1+(N113/$C$50)^2)-(N113/$C$50))</f>
        <v>-37.378275536988859</v>
      </c>
      <c r="I113" s="19">
        <f>-H113/$C$51</f>
        <v>0.55659999999999998</v>
      </c>
      <c r="J113" s="18">
        <f>-$C$51*(1/SQRT(1+(N113/$C$50)^2))</f>
        <v>-67.15464523354089</v>
      </c>
      <c r="K113" s="19">
        <f>-J113/$C$51</f>
        <v>1</v>
      </c>
      <c r="L113" s="18">
        <f>0.5*(J113-F113)</f>
        <v>0</v>
      </c>
      <c r="M113" s="19">
        <f>-L113/$C$51</f>
        <v>0</v>
      </c>
      <c r="N113" s="19">
        <v>0</v>
      </c>
      <c r="O113" s="22">
        <f>-N113/$C$50</f>
        <v>0</v>
      </c>
    </row>
    <row r="114" spans="4:15" x14ac:dyDescent="0.25">
      <c r="D114" s="21">
        <f t="shared" si="0"/>
        <v>67.087137252937524</v>
      </c>
      <c r="E114" s="22">
        <f>E113+($E$142-$E$113)/29</f>
        <v>8.4992267109972094E-3</v>
      </c>
      <c r="F114" s="18">
        <f t="shared" ref="F114:F142" si="2">-$C$51*(((SQRT(1+(N114/$C$50)^2)-N114/$C$50)^2)/SQRT(1+(N114/$C$50)^2))</f>
        <v>-4.2531829249172803</v>
      </c>
      <c r="G114" s="18">
        <f t="shared" ref="G114:G142" si="3">-F114/$C$51</f>
        <v>6.3334158197488263E-2</v>
      </c>
      <c r="H114" s="18">
        <f t="shared" si="1"/>
        <v>-12.233575970816112</v>
      </c>
      <c r="I114" s="19">
        <f t="shared" ref="I114:I142" si="4">-H114/$C$51</f>
        <v>0.18217021217626747</v>
      </c>
      <c r="J114" s="18">
        <f t="shared" ref="J114:J142" si="5">-$C$51*(1/SQRT(1+(N114/$C$50)^2))</f>
        <v>-39.705049093825501</v>
      </c>
      <c r="K114" s="19">
        <f t="shared" ref="K114:K142" si="6">-J114/$C$51</f>
        <v>0.59124799119621463</v>
      </c>
      <c r="L114" s="18">
        <f t="shared" ref="L114:L142" si="7">0.5*(J114-F114)</f>
        <v>-17.725933084454109</v>
      </c>
      <c r="M114" s="19">
        <f t="shared" ref="M114:M142" si="8">-L114/$C$51</f>
        <v>0.26395691649936315</v>
      </c>
      <c r="N114" s="19">
        <f>N113+($N$142-$N$113)/29</f>
        <v>0.25862068965517243</v>
      </c>
      <c r="O114" s="22">
        <f t="shared" ref="O114:O142" si="9">-N114/$C$50</f>
        <v>-1.36404659560423</v>
      </c>
    </row>
    <row r="115" spans="4:15" x14ac:dyDescent="0.25">
      <c r="D115" s="21">
        <f t="shared" si="0"/>
        <v>66.884204486931665</v>
      </c>
      <c r="E115" s="22">
        <f t="shared" ref="E115:E141" si="10">E114+($E$142-$E$113)/29</f>
        <v>1.6998453421994419E-2</v>
      </c>
      <c r="F115" s="18">
        <f t="shared" si="2"/>
        <v>-0.72820697814067814</v>
      </c>
      <c r="G115" s="18">
        <f t="shared" si="3"/>
        <v>1.084373203980489E-2</v>
      </c>
      <c r="H115" s="18">
        <f t="shared" si="1"/>
        <v>-6.6347768412338555</v>
      </c>
      <c r="I115" s="19">
        <f t="shared" si="4"/>
        <v>9.8798479511884404E-2</v>
      </c>
      <c r="J115" s="18">
        <f t="shared" si="5"/>
        <v>-23.11216974206722</v>
      </c>
      <c r="K115" s="19">
        <f t="shared" si="6"/>
        <v>0.34416338083078241</v>
      </c>
      <c r="L115" s="18">
        <f t="shared" si="7"/>
        <v>-11.19198138196327</v>
      </c>
      <c r="M115" s="19">
        <f t="shared" si="8"/>
        <v>0.16665982439548874</v>
      </c>
      <c r="N115" s="19">
        <f t="shared" ref="N115:N141" si="11">N114+($N$142-$N$113)/29</f>
        <v>0.51724137931034486</v>
      </c>
      <c r="O115" s="22">
        <f t="shared" si="9"/>
        <v>-2.7280931912084601</v>
      </c>
    </row>
    <row r="116" spans="4:15" x14ac:dyDescent="0.25">
      <c r="D116" s="21">
        <f t="shared" si="0"/>
        <v>66.544607982979215</v>
      </c>
      <c r="E116" s="22">
        <f t="shared" si="10"/>
        <v>2.5497680132991626E-2</v>
      </c>
      <c r="F116" s="18">
        <f t="shared" si="2"/>
        <v>-0.23114441743583192</v>
      </c>
      <c r="G116" s="18">
        <f t="shared" si="3"/>
        <v>3.4419721321137307E-3</v>
      </c>
      <c r="H116" s="18">
        <f t="shared" si="1"/>
        <v>-4.500861583699332</v>
      </c>
      <c r="I116" s="19">
        <f t="shared" si="4"/>
        <v>6.7022341761271684E-2</v>
      </c>
      <c r="J116" s="18">
        <f t="shared" si="5"/>
        <v>-15.941552613463678</v>
      </c>
      <c r="K116" s="19">
        <f t="shared" si="6"/>
        <v>0.23738570218075622</v>
      </c>
      <c r="L116" s="18">
        <f t="shared" si="7"/>
        <v>-7.8552040980139228</v>
      </c>
      <c r="M116" s="19">
        <f t="shared" si="8"/>
        <v>0.11697186502432125</v>
      </c>
      <c r="N116" s="19">
        <f t="shared" si="11"/>
        <v>0.77586206896551735</v>
      </c>
      <c r="O116" s="22">
        <f t="shared" si="9"/>
        <v>-4.0921397868126901</v>
      </c>
    </row>
    <row r="117" spans="4:15" x14ac:dyDescent="0.25">
      <c r="D117" s="21">
        <f t="shared" si="0"/>
        <v>66.066240320382605</v>
      </c>
      <c r="E117" s="22">
        <f t="shared" si="10"/>
        <v>3.3996906843988837E-2</v>
      </c>
      <c r="F117" s="18">
        <f t="shared" si="2"/>
        <v>-9.9993131878497815E-2</v>
      </c>
      <c r="G117" s="18">
        <f t="shared" si="3"/>
        <v>1.4889979915872669E-3</v>
      </c>
      <c r="H117" s="18">
        <f t="shared" si="1"/>
        <v>-3.3970198511324612</v>
      </c>
      <c r="I117" s="19">
        <f t="shared" si="4"/>
        <v>5.0585031598615222E-2</v>
      </c>
      <c r="J117" s="18">
        <f t="shared" si="5"/>
        <v>-12.106330443875896</v>
      </c>
      <c r="K117" s="19">
        <f t="shared" si="6"/>
        <v>0.18027539869765105</v>
      </c>
      <c r="L117" s="18">
        <f t="shared" si="7"/>
        <v>-6.0031686559986994</v>
      </c>
      <c r="M117" s="19">
        <f t="shared" si="8"/>
        <v>8.9393200353031901E-2</v>
      </c>
      <c r="N117" s="19">
        <f t="shared" si="11"/>
        <v>1.0344827586206897</v>
      </c>
      <c r="O117" s="22">
        <f t="shared" si="9"/>
        <v>-5.4561863824169201</v>
      </c>
    </row>
    <row r="118" spans="4:15" x14ac:dyDescent="0.25">
      <c r="D118" s="21">
        <f t="shared" si="0"/>
        <v>65.446058592066422</v>
      </c>
      <c r="E118" s="22">
        <f t="shared" si="10"/>
        <v>4.2496133554986049E-2</v>
      </c>
      <c r="F118" s="18">
        <f t="shared" si="2"/>
        <v>-5.1804628264589127E-2</v>
      </c>
      <c r="G118" s="18">
        <f t="shared" si="3"/>
        <v>7.714228566680733E-4</v>
      </c>
      <c r="H118" s="18">
        <f t="shared" si="1"/>
        <v>-2.7256777956346756</v>
      </c>
      <c r="I118" s="19">
        <f t="shared" si="4"/>
        <v>4.0588075272465524E-2</v>
      </c>
      <c r="J118" s="18">
        <f t="shared" si="5"/>
        <v>-9.7422226647093826</v>
      </c>
      <c r="K118" s="19">
        <f t="shared" si="6"/>
        <v>0.14507146349786026</v>
      </c>
      <c r="L118" s="18">
        <f t="shared" si="7"/>
        <v>-4.8452090182223966</v>
      </c>
      <c r="M118" s="19">
        <f t="shared" si="8"/>
        <v>7.2150020320596087E-2</v>
      </c>
      <c r="N118" s="19">
        <f t="shared" si="11"/>
        <v>1.2931034482758621</v>
      </c>
      <c r="O118" s="22">
        <f t="shared" si="9"/>
        <v>-6.8202329780211501</v>
      </c>
    </row>
    <row r="119" spans="4:15" x14ac:dyDescent="0.25">
      <c r="D119" s="21">
        <f t="shared" si="0"/>
        <v>64.679983589247385</v>
      </c>
      <c r="E119" s="22">
        <f t="shared" si="10"/>
        <v>5.099536026598326E-2</v>
      </c>
      <c r="F119" s="18">
        <f t="shared" si="2"/>
        <v>-3.0174004646353506E-2</v>
      </c>
      <c r="G119" s="18">
        <f t="shared" si="3"/>
        <v>4.4932118309044203E-4</v>
      </c>
      <c r="H119" s="18">
        <f t="shared" si="1"/>
        <v>-2.2750810993186295</v>
      </c>
      <c r="I119" s="19">
        <f t="shared" si="4"/>
        <v>3.3878238674430863E-2</v>
      </c>
      <c r="J119" s="18">
        <f t="shared" si="5"/>
        <v>-8.1447490974688019</v>
      </c>
      <c r="K119" s="19">
        <f t="shared" si="6"/>
        <v>0.12128348037792695</v>
      </c>
      <c r="L119" s="18">
        <f t="shared" si="7"/>
        <v>-4.0572875464112244</v>
      </c>
      <c r="M119" s="19">
        <f t="shared" si="8"/>
        <v>6.0417079597418252E-2</v>
      </c>
      <c r="N119" s="19">
        <f t="shared" si="11"/>
        <v>1.5517241379310345</v>
      </c>
      <c r="O119" s="22">
        <f t="shared" si="9"/>
        <v>-8.1842795736253802</v>
      </c>
    </row>
    <row r="120" spans="4:15" x14ac:dyDescent="0.25">
      <c r="D120" s="21">
        <f t="shared" si="0"/>
        <v>63.762757042633488</v>
      </c>
      <c r="E120" s="22">
        <f t="shared" si="10"/>
        <v>5.9494586976980471E-2</v>
      </c>
      <c r="F120" s="18">
        <f t="shared" si="2"/>
        <v>-1.9076271486635966E-2</v>
      </c>
      <c r="G120" s="18">
        <f t="shared" si="3"/>
        <v>2.8406480922198635E-4</v>
      </c>
      <c r="H120" s="18">
        <f t="shared" si="1"/>
        <v>-1.9519828745788921</v>
      </c>
      <c r="I120" s="19">
        <f t="shared" si="4"/>
        <v>2.9066982154258476E-2</v>
      </c>
      <c r="J120" s="18">
        <f t="shared" si="5"/>
        <v>-6.9948758470145682</v>
      </c>
      <c r="K120" s="19">
        <f t="shared" si="6"/>
        <v>0.10416071476051704</v>
      </c>
      <c r="L120" s="18">
        <f t="shared" si="7"/>
        <v>-3.4878997877639661</v>
      </c>
      <c r="M120" s="19">
        <f t="shared" si="8"/>
        <v>5.1938324975647529E-2</v>
      </c>
      <c r="N120" s="19">
        <f t="shared" si="11"/>
        <v>1.8103448275862069</v>
      </c>
      <c r="O120" s="22">
        <f t="shared" si="9"/>
        <v>-9.5483261692296093</v>
      </c>
    </row>
    <row r="121" spans="4:15" x14ac:dyDescent="0.25">
      <c r="D121" s="21">
        <f t="shared" si="0"/>
        <v>62.687744503642648</v>
      </c>
      <c r="E121" s="22">
        <f t="shared" si="10"/>
        <v>6.7993813687977675E-2</v>
      </c>
      <c r="F121" s="18">
        <f t="shared" si="2"/>
        <v>-1.2812230215995892E-2</v>
      </c>
      <c r="G121" s="18">
        <f t="shared" si="3"/>
        <v>1.9078695407353187E-4</v>
      </c>
      <c r="H121" s="18">
        <f t="shared" si="1"/>
        <v>-1.709075148267621</v>
      </c>
      <c r="I121" s="19">
        <f t="shared" si="4"/>
        <v>2.5449842558531017E-2</v>
      </c>
      <c r="J121" s="18">
        <f t="shared" si="5"/>
        <v>-6.1283129881368241</v>
      </c>
      <c r="K121" s="19">
        <f t="shared" si="6"/>
        <v>9.125672493428634E-2</v>
      </c>
      <c r="L121" s="18">
        <f t="shared" si="7"/>
        <v>-3.0577503789604141</v>
      </c>
      <c r="M121" s="19">
        <f t="shared" si="8"/>
        <v>4.5532968990106407E-2</v>
      </c>
      <c r="N121" s="19">
        <f t="shared" si="11"/>
        <v>2.0689655172413794</v>
      </c>
      <c r="O121" s="22">
        <f t="shared" si="9"/>
        <v>-10.91237276483384</v>
      </c>
    </row>
    <row r="122" spans="4:15" x14ac:dyDescent="0.25">
      <c r="D122" s="21">
        <f t="shared" si="0"/>
        <v>61.446665108315905</v>
      </c>
      <c r="E122" s="22">
        <f t="shared" si="10"/>
        <v>7.6493040398974879E-2</v>
      </c>
      <c r="F122" s="18">
        <f t="shared" si="2"/>
        <v>-9.0142086174336278E-3</v>
      </c>
      <c r="G122" s="18">
        <f t="shared" si="3"/>
        <v>1.3423060439207582E-4</v>
      </c>
      <c r="H122" s="18">
        <f t="shared" si="1"/>
        <v>-1.5198436876593941</v>
      </c>
      <c r="I122" s="19">
        <f t="shared" si="4"/>
        <v>2.2631996377523812E-2</v>
      </c>
      <c r="J122" s="18">
        <f t="shared" si="5"/>
        <v>-5.4521560668386035</v>
      </c>
      <c r="K122" s="19">
        <f t="shared" si="6"/>
        <v>8.1188070428752465E-2</v>
      </c>
      <c r="L122" s="18">
        <f t="shared" si="7"/>
        <v>-2.7215709291105847</v>
      </c>
      <c r="M122" s="19">
        <f t="shared" si="8"/>
        <v>4.0526919912180187E-2</v>
      </c>
      <c r="N122" s="19">
        <f t="shared" si="11"/>
        <v>2.327586206896552</v>
      </c>
      <c r="O122" s="22">
        <f t="shared" si="9"/>
        <v>-12.276419360438071</v>
      </c>
    </row>
    <row r="123" spans="4:15" x14ac:dyDescent="0.25">
      <c r="D123" s="21">
        <f t="shared" si="0"/>
        <v>60.029219648572408</v>
      </c>
      <c r="E123" s="22">
        <f t="shared" si="10"/>
        <v>8.4992267109972083E-2</v>
      </c>
      <c r="F123" s="18">
        <f t="shared" si="2"/>
        <v>-6.5796044461184236E-3</v>
      </c>
      <c r="G123" s="18">
        <f t="shared" si="3"/>
        <v>9.79769072301225E-5</v>
      </c>
      <c r="H123" s="18">
        <f t="shared" si="1"/>
        <v>-1.3682885678285017</v>
      </c>
      <c r="I123" s="19">
        <f t="shared" si="4"/>
        <v>2.037518868679988E-2</v>
      </c>
      <c r="J123" s="18">
        <f t="shared" si="5"/>
        <v>-4.910016039925118</v>
      </c>
      <c r="K123" s="19">
        <f t="shared" si="6"/>
        <v>7.3115061852382091E-2</v>
      </c>
      <c r="L123" s="18">
        <f t="shared" si="7"/>
        <v>-2.4517182177394998</v>
      </c>
      <c r="M123" s="19">
        <f t="shared" si="8"/>
        <v>3.6508542472575983E-2</v>
      </c>
      <c r="N123" s="19">
        <f t="shared" si="11"/>
        <v>2.5862068965517246</v>
      </c>
      <c r="O123" s="22">
        <f t="shared" si="9"/>
        <v>-13.640465956042302</v>
      </c>
    </row>
    <row r="124" spans="4:15" x14ac:dyDescent="0.25">
      <c r="D124" s="21">
        <f t="shared" si="0"/>
        <v>58.422572581178358</v>
      </c>
      <c r="E124" s="22">
        <f t="shared" si="10"/>
        <v>9.3491493820969288E-2</v>
      </c>
      <c r="F124" s="18">
        <f t="shared" si="2"/>
        <v>-4.9479476472136293E-3</v>
      </c>
      <c r="G124" s="18">
        <f t="shared" si="3"/>
        <v>7.3679901516959239E-5</v>
      </c>
      <c r="H124" s="18">
        <f t="shared" si="1"/>
        <v>-1.244187736664025</v>
      </c>
      <c r="I124" s="19">
        <f t="shared" si="4"/>
        <v>1.8527202881307252E-2</v>
      </c>
      <c r="J124" s="18">
        <f t="shared" si="5"/>
        <v>-4.4657230428811072</v>
      </c>
      <c r="K124" s="19">
        <f t="shared" si="6"/>
        <v>6.6499093656899683E-2</v>
      </c>
      <c r="L124" s="18">
        <f t="shared" si="7"/>
        <v>-2.2303875476169468</v>
      </c>
      <c r="M124" s="19">
        <f t="shared" si="8"/>
        <v>3.3212706877691359E-2</v>
      </c>
      <c r="N124" s="19">
        <f t="shared" si="11"/>
        <v>2.8448275862068972</v>
      </c>
      <c r="O124" s="22">
        <f t="shared" si="9"/>
        <v>-15.004512551646533</v>
      </c>
    </row>
    <row r="125" spans="4:15" x14ac:dyDescent="0.25">
      <c r="D125" s="21">
        <f t="shared" si="0"/>
        <v>56.610617194065554</v>
      </c>
      <c r="E125" s="22">
        <f t="shared" si="10"/>
        <v>0.10199072053196649</v>
      </c>
      <c r="F125" s="18">
        <f t="shared" si="2"/>
        <v>-3.8138747421318543E-3</v>
      </c>
      <c r="G125" s="18">
        <f t="shared" si="3"/>
        <v>5.6792418884330374E-5</v>
      </c>
      <c r="H125" s="18">
        <f t="shared" si="1"/>
        <v>-1.1407071079464508</v>
      </c>
      <c r="I125" s="19">
        <f t="shared" si="4"/>
        <v>1.6986272565054309E-2</v>
      </c>
      <c r="J125" s="18">
        <f t="shared" si="5"/>
        <v>-4.0950258950979768</v>
      </c>
      <c r="K125" s="19">
        <f t="shared" si="6"/>
        <v>6.097904144764487E-2</v>
      </c>
      <c r="L125" s="18">
        <f t="shared" si="7"/>
        <v>-2.0456060101779223</v>
      </c>
      <c r="M125" s="19">
        <f t="shared" si="8"/>
        <v>3.0461124514380267E-2</v>
      </c>
      <c r="N125" s="19">
        <f t="shared" si="11"/>
        <v>3.1034482758620698</v>
      </c>
      <c r="O125" s="22">
        <f t="shared" si="9"/>
        <v>-16.368559147250764</v>
      </c>
    </row>
    <row r="126" spans="4:15" x14ac:dyDescent="0.25">
      <c r="D126" s="21">
        <f t="shared" si="0"/>
        <v>54.572907086634885</v>
      </c>
      <c r="E126" s="22">
        <f t="shared" si="10"/>
        <v>0.1104899472429637</v>
      </c>
      <c r="F126" s="18">
        <f t="shared" si="2"/>
        <v>-3.0013674343379788E-3</v>
      </c>
      <c r="G126" s="18">
        <f t="shared" si="3"/>
        <v>4.4693370412430133E-5</v>
      </c>
      <c r="H126" s="18">
        <f t="shared" si="1"/>
        <v>-1.0531053814131384</v>
      </c>
      <c r="I126" s="19">
        <f t="shared" si="4"/>
        <v>1.5681795023274981E-2</v>
      </c>
      <c r="J126" s="18">
        <f t="shared" si="5"/>
        <v>-3.781063962832127</v>
      </c>
      <c r="K126" s="19">
        <f t="shared" si="6"/>
        <v>5.6303833482894292E-2</v>
      </c>
      <c r="L126" s="18">
        <f t="shared" si="7"/>
        <v>-1.8890312976988946</v>
      </c>
      <c r="M126" s="19">
        <f t="shared" si="8"/>
        <v>2.8129570056240932E-2</v>
      </c>
      <c r="N126" s="19">
        <f t="shared" si="11"/>
        <v>3.3620689655172424</v>
      </c>
      <c r="O126" s="22">
        <f t="shared" si="9"/>
        <v>-17.732605742854993</v>
      </c>
    </row>
    <row r="127" spans="4:15" x14ac:dyDescent="0.25">
      <c r="D127" s="21">
        <f t="shared" si="0"/>
        <v>52.283052831519072</v>
      </c>
      <c r="E127" s="22">
        <f t="shared" si="10"/>
        <v>0.1189891739539609</v>
      </c>
      <c r="F127" s="18">
        <f t="shared" si="2"/>
        <v>-2.4041130396557919E-3</v>
      </c>
      <c r="G127" s="18">
        <f t="shared" si="3"/>
        <v>3.5799653639671672E-5</v>
      </c>
      <c r="H127" s="18">
        <f t="shared" si="1"/>
        <v>-0.97799043709036337</v>
      </c>
      <c r="I127" s="19">
        <f t="shared" si="4"/>
        <v>1.4563258188458104E-2</v>
      </c>
      <c r="J127" s="18">
        <f t="shared" si="5"/>
        <v>-3.5117548416506219</v>
      </c>
      <c r="K127" s="19">
        <f t="shared" si="6"/>
        <v>5.2293550646242561E-2</v>
      </c>
      <c r="L127" s="18">
        <f t="shared" si="7"/>
        <v>-1.7546753643054831</v>
      </c>
      <c r="M127" s="19">
        <f t="shared" si="8"/>
        <v>2.6128875496301444E-2</v>
      </c>
      <c r="N127" s="19">
        <f t="shared" si="11"/>
        <v>3.620689655172415</v>
      </c>
      <c r="O127" s="22">
        <f t="shared" si="9"/>
        <v>-19.096652338459226</v>
      </c>
    </row>
    <row r="128" spans="4:15" x14ac:dyDescent="0.25">
      <c r="D128" s="21">
        <f t="shared" si="0"/>
        <v>49.706219485933744</v>
      </c>
      <c r="E128" s="22">
        <f t="shared" si="10"/>
        <v>0.12748840066495812</v>
      </c>
      <c r="F128" s="18">
        <f t="shared" si="2"/>
        <v>-1.9553223390751618E-3</v>
      </c>
      <c r="G128" s="18">
        <f t="shared" si="3"/>
        <v>2.9116710128915422E-5</v>
      </c>
      <c r="H128" s="18">
        <f t="shared" si="1"/>
        <v>-0.91287157481010528</v>
      </c>
      <c r="I128" s="19">
        <f t="shared" si="4"/>
        <v>1.3593573037806247E-2</v>
      </c>
      <c r="J128" s="18">
        <f t="shared" si="5"/>
        <v>-3.2782156255953931</v>
      </c>
      <c r="K128" s="19">
        <f t="shared" si="6"/>
        <v>4.8815917561545893E-2</v>
      </c>
      <c r="L128" s="18">
        <f t="shared" si="7"/>
        <v>-1.638130151628159</v>
      </c>
      <c r="M128" s="19">
        <f t="shared" si="8"/>
        <v>2.4393400425708492E-2</v>
      </c>
      <c r="N128" s="19">
        <f t="shared" si="11"/>
        <v>3.8793103448275876</v>
      </c>
      <c r="O128" s="22">
        <f t="shared" si="9"/>
        <v>-20.460698934063455</v>
      </c>
    </row>
    <row r="129" spans="4:15" x14ac:dyDescent="0.25">
      <c r="D129" s="21">
        <f t="shared" si="0"/>
        <v>46.795022325966492</v>
      </c>
      <c r="E129" s="22">
        <f t="shared" si="10"/>
        <v>0.13598762737595532</v>
      </c>
      <c r="F129" s="18">
        <f t="shared" si="2"/>
        <v>-1.6116011435686345E-3</v>
      </c>
      <c r="G129" s="18">
        <f t="shared" si="3"/>
        <v>2.399835689644457E-5</v>
      </c>
      <c r="H129" s="18">
        <f t="shared" si="1"/>
        <v>-0.85587888698328107</v>
      </c>
      <c r="I129" s="19">
        <f t="shared" si="4"/>
        <v>1.2744894772458808E-2</v>
      </c>
      <c r="J129" s="18">
        <f t="shared" si="5"/>
        <v>-3.073770673320388</v>
      </c>
      <c r="K129" s="19">
        <f t="shared" si="6"/>
        <v>4.5771527235842956E-2</v>
      </c>
      <c r="L129" s="18">
        <f t="shared" si="7"/>
        <v>-1.5360795360884096</v>
      </c>
      <c r="M129" s="19">
        <f t="shared" si="8"/>
        <v>2.2873764439473254E-2</v>
      </c>
      <c r="N129" s="19">
        <f t="shared" si="11"/>
        <v>4.1379310344827598</v>
      </c>
      <c r="O129" s="22">
        <f t="shared" si="9"/>
        <v>-21.824745529667684</v>
      </c>
    </row>
    <row r="130" spans="4:15" x14ac:dyDescent="0.25">
      <c r="D130" s="21">
        <f t="shared" si="0"/>
        <v>43.482354928120678</v>
      </c>
      <c r="E130" s="22">
        <f t="shared" si="10"/>
        <v>0.14448685408695253</v>
      </c>
      <c r="F130" s="18">
        <f t="shared" si="2"/>
        <v>-1.3439239174007486E-3</v>
      </c>
      <c r="G130" s="18">
        <f t="shared" si="3"/>
        <v>2.0012374612761944E-5</v>
      </c>
      <c r="H130" s="18">
        <f t="shared" si="1"/>
        <v>-0.80558127707877281</v>
      </c>
      <c r="I130" s="19">
        <f t="shared" si="4"/>
        <v>1.1995912930181324E-2</v>
      </c>
      <c r="J130" s="18">
        <f t="shared" si="5"/>
        <v>-2.893306730336302</v>
      </c>
      <c r="K130" s="19">
        <f t="shared" si="6"/>
        <v>4.3084238182993458E-2</v>
      </c>
      <c r="L130" s="18">
        <f t="shared" si="7"/>
        <v>-1.4459814032094507</v>
      </c>
      <c r="M130" s="19">
        <f t="shared" si="8"/>
        <v>2.153211290419035E-2</v>
      </c>
      <c r="N130" s="19">
        <f t="shared" si="11"/>
        <v>4.3965517241379324</v>
      </c>
      <c r="O130" s="22">
        <f t="shared" si="9"/>
        <v>-23.188792125271917</v>
      </c>
    </row>
    <row r="131" spans="4:15" x14ac:dyDescent="0.25">
      <c r="D131" s="21">
        <f t="shared" si="0"/>
        <v>39.667763768655973</v>
      </c>
      <c r="E131" s="22">
        <f t="shared" si="10"/>
        <v>0.15298608079794973</v>
      </c>
      <c r="F131" s="18">
        <f t="shared" si="2"/>
        <v>-1.1323770134409928E-3</v>
      </c>
      <c r="G131" s="18">
        <f t="shared" si="3"/>
        <v>1.6862229105715216E-5</v>
      </c>
      <c r="H131" s="18">
        <f t="shared" si="1"/>
        <v>-0.76086492366529945</v>
      </c>
      <c r="I131" s="19">
        <f t="shared" si="4"/>
        <v>1.1330041593091162E-2</v>
      </c>
      <c r="J131" s="18">
        <f t="shared" si="5"/>
        <v>-2.7328414773351017</v>
      </c>
      <c r="K131" s="19">
        <f t="shared" si="6"/>
        <v>4.0694749675636195E-2</v>
      </c>
      <c r="L131" s="18">
        <f t="shared" si="7"/>
        <v>-1.3658545501608303</v>
      </c>
      <c r="M131" s="19">
        <f t="shared" si="8"/>
        <v>2.0338943723265238E-2</v>
      </c>
      <c r="N131" s="19">
        <f t="shared" si="11"/>
        <v>4.655172413793105</v>
      </c>
      <c r="O131" s="22">
        <f t="shared" si="9"/>
        <v>-24.552838720876146</v>
      </c>
    </row>
    <row r="132" spans="4:15" x14ac:dyDescent="0.25">
      <c r="D132" s="21">
        <f t="shared" si="0"/>
        <v>35.188392850771216</v>
      </c>
      <c r="E132" s="22">
        <f t="shared" si="10"/>
        <v>0.16148530750894693</v>
      </c>
      <c r="F132" s="18">
        <f t="shared" si="2"/>
        <v>-9.6298936967047959E-4</v>
      </c>
      <c r="G132" s="18">
        <f t="shared" si="3"/>
        <v>1.4339877253785378E-5</v>
      </c>
      <c r="H132" s="18">
        <f t="shared" si="1"/>
        <v>-0.7208500037006631</v>
      </c>
      <c r="I132" s="19">
        <f t="shared" si="4"/>
        <v>1.0734179313937157E-2</v>
      </c>
      <c r="J132" s="18">
        <f t="shared" si="5"/>
        <v>-2.5892274658966588</v>
      </c>
      <c r="K132" s="19">
        <f t="shared" si="6"/>
        <v>3.8556193051012495E-2</v>
      </c>
      <c r="L132" s="18">
        <f t="shared" si="7"/>
        <v>-1.2941322382634941</v>
      </c>
      <c r="M132" s="19">
        <f t="shared" si="8"/>
        <v>1.9270926586879355E-2</v>
      </c>
      <c r="N132" s="19">
        <f t="shared" si="11"/>
        <v>4.9137931034482776</v>
      </c>
      <c r="O132" s="22">
        <f t="shared" si="9"/>
        <v>-25.916885316480379</v>
      </c>
    </row>
    <row r="133" spans="4:15" x14ac:dyDescent="0.25">
      <c r="D133" s="21">
        <f t="shared" si="0"/>
        <v>29.745415060778615</v>
      </c>
      <c r="E133" s="22">
        <f t="shared" si="10"/>
        <v>0.16998453421994414</v>
      </c>
      <c r="F133" s="18">
        <f t="shared" si="2"/>
        <v>-8.2576271932263527E-4</v>
      </c>
      <c r="G133" s="18">
        <f t="shared" si="3"/>
        <v>1.2296434840075692E-5</v>
      </c>
      <c r="H133" s="18">
        <f t="shared" si="1"/>
        <v>-0.68483232880961742</v>
      </c>
      <c r="I133" s="19">
        <f t="shared" si="4"/>
        <v>1.0197840021758805E-2</v>
      </c>
      <c r="J133" s="18">
        <f t="shared" si="5"/>
        <v>-2.4599443731400119</v>
      </c>
      <c r="K133" s="19">
        <f t="shared" si="6"/>
        <v>3.6631038174428095E-2</v>
      </c>
      <c r="L133" s="18">
        <f t="shared" si="7"/>
        <v>-1.2295593052103446</v>
      </c>
      <c r="M133" s="19">
        <f t="shared" si="8"/>
        <v>1.830937086979401E-2</v>
      </c>
      <c r="N133" s="19">
        <f t="shared" si="11"/>
        <v>5.1724137931034502</v>
      </c>
      <c r="O133" s="22">
        <f t="shared" si="9"/>
        <v>-27.280931912084608</v>
      </c>
    </row>
    <row r="134" spans="4:15" x14ac:dyDescent="0.25">
      <c r="D134" s="21">
        <f t="shared" si="0"/>
        <v>22.654616738299925</v>
      </c>
      <c r="E134" s="22">
        <f t="shared" si="10"/>
        <v>0.17848376093094134</v>
      </c>
      <c r="F134" s="18">
        <f t="shared" si="2"/>
        <v>-7.1341389769232237E-4</v>
      </c>
      <c r="G134" s="18">
        <f t="shared" si="3"/>
        <v>1.0623448239675942E-5</v>
      </c>
      <c r="H134" s="18">
        <f t="shared" si="1"/>
        <v>-0.65224161492985355</v>
      </c>
      <c r="I134" s="19">
        <f t="shared" si="4"/>
        <v>9.7125316150741357E-3</v>
      </c>
      <c r="J134" s="18">
        <f t="shared" si="5"/>
        <v>-2.3429503120450312</v>
      </c>
      <c r="K134" s="19">
        <f t="shared" si="6"/>
        <v>3.4888879300859252E-2</v>
      </c>
      <c r="L134" s="18">
        <f t="shared" si="7"/>
        <v>-1.1711184490736695</v>
      </c>
      <c r="M134" s="19">
        <f t="shared" si="8"/>
        <v>1.7439127926309788E-2</v>
      </c>
      <c r="N134" s="19">
        <f t="shared" si="11"/>
        <v>5.4310344827586228</v>
      </c>
      <c r="O134" s="22">
        <f t="shared" si="9"/>
        <v>-28.64497850768884</v>
      </c>
    </row>
    <row r="135" spans="4:15" x14ac:dyDescent="0.25">
      <c r="D135" s="21">
        <f t="shared" si="0"/>
        <v>11.115251624862088</v>
      </c>
      <c r="E135" s="22">
        <f t="shared" si="10"/>
        <v>0.18698298764193855</v>
      </c>
      <c r="F135" s="18">
        <f t="shared" si="2"/>
        <v>-6.2055228948844007E-4</v>
      </c>
      <c r="G135" s="18">
        <f t="shared" si="3"/>
        <v>9.2406457860118457E-6</v>
      </c>
      <c r="H135" s="18">
        <f t="shared" si="1"/>
        <v>-0.62261110708596323</v>
      </c>
      <c r="I135" s="19">
        <f t="shared" si="4"/>
        <v>9.2713036443083686E-3</v>
      </c>
      <c r="J135" s="18">
        <f t="shared" si="5"/>
        <v>-2.2365735083859968</v>
      </c>
      <c r="K135" s="19">
        <f t="shared" si="6"/>
        <v>3.3304822035883877E-2</v>
      </c>
      <c r="L135" s="18">
        <f t="shared" si="7"/>
        <v>-1.1179764780482542</v>
      </c>
      <c r="M135" s="19">
        <f t="shared" si="8"/>
        <v>1.6647790695048934E-2</v>
      </c>
      <c r="N135" s="19">
        <f t="shared" si="11"/>
        <v>5.6896551724137954</v>
      </c>
      <c r="O135" s="22">
        <f t="shared" si="9"/>
        <v>-30.009025103293069</v>
      </c>
    </row>
    <row r="136" spans="4:15" x14ac:dyDescent="0.25">
      <c r="D136" s="21" t="e">
        <f t="shared" si="0"/>
        <v>#NUM!</v>
      </c>
      <c r="E136" s="22">
        <f t="shared" si="10"/>
        <v>0.19548221435293575</v>
      </c>
      <c r="F136" s="18">
        <f t="shared" si="2"/>
        <v>-5.4313013831837559E-4</v>
      </c>
      <c r="G136" s="18">
        <f t="shared" si="3"/>
        <v>8.0877523279224352E-6</v>
      </c>
      <c r="H136" s="18">
        <f t="shared" si="1"/>
        <v>-0.59555511178096021</v>
      </c>
      <c r="I136" s="19">
        <f t="shared" si="4"/>
        <v>8.8684127465765497E-3</v>
      </c>
      <c r="J136" s="18">
        <f t="shared" si="5"/>
        <v>-2.1394321188053302</v>
      </c>
      <c r="K136" s="19">
        <f t="shared" si="6"/>
        <v>3.1858289346405104E-2</v>
      </c>
      <c r="L136" s="18">
        <f t="shared" si="7"/>
        <v>-1.069444494333506</v>
      </c>
      <c r="M136" s="19">
        <f t="shared" si="8"/>
        <v>1.5925100797038592E-2</v>
      </c>
      <c r="N136" s="19">
        <f t="shared" si="11"/>
        <v>5.948275862068968</v>
      </c>
      <c r="O136" s="22">
        <f t="shared" si="9"/>
        <v>-31.373071698897302</v>
      </c>
    </row>
    <row r="137" spans="4:15" x14ac:dyDescent="0.25">
      <c r="D137" s="21" t="e">
        <f t="shared" si="0"/>
        <v>#NUM!</v>
      </c>
      <c r="E137" s="22">
        <f t="shared" si="10"/>
        <v>0.20398144106393296</v>
      </c>
      <c r="F137" s="18">
        <f t="shared" si="2"/>
        <v>-4.7806798195270967E-4</v>
      </c>
      <c r="G137" s="18">
        <f t="shared" si="3"/>
        <v>7.1189115851949291E-6</v>
      </c>
      <c r="H137" s="18">
        <f t="shared" si="1"/>
        <v>-0.5707521357178017</v>
      </c>
      <c r="I137" s="19">
        <f t="shared" si="4"/>
        <v>8.4990715643410968E-3</v>
      </c>
      <c r="J137" s="18">
        <f t="shared" si="5"/>
        <v>-2.0503740186790194</v>
      </c>
      <c r="K137" s="19">
        <f t="shared" si="6"/>
        <v>3.053212494159592E-2</v>
      </c>
      <c r="L137" s="18">
        <f t="shared" si="7"/>
        <v>-1.0249479753485333</v>
      </c>
      <c r="M137" s="19">
        <f t="shared" si="8"/>
        <v>1.5262503015005362E-2</v>
      </c>
      <c r="N137" s="19">
        <f t="shared" si="11"/>
        <v>6.2068965517241406</v>
      </c>
      <c r="O137" s="22">
        <f t="shared" si="9"/>
        <v>-32.737118294501535</v>
      </c>
    </row>
    <row r="138" spans="4:15" x14ac:dyDescent="0.25">
      <c r="D138" s="21" t="e">
        <f t="shared" si="0"/>
        <v>#NUM!</v>
      </c>
      <c r="E138" s="22">
        <f t="shared" si="10"/>
        <v>0.21248066777493016</v>
      </c>
      <c r="F138" s="18">
        <f t="shared" si="2"/>
        <v>-4.2299487225709906E-4</v>
      </c>
      <c r="G138" s="18">
        <f t="shared" si="3"/>
        <v>6.2988177628824868E-6</v>
      </c>
      <c r="H138" s="18">
        <f t="shared" si="1"/>
        <v>-0.54793206425318508</v>
      </c>
      <c r="I138" s="19">
        <f t="shared" si="4"/>
        <v>8.1592578197333156E-3</v>
      </c>
      <c r="J138" s="18">
        <f t="shared" si="5"/>
        <v>-1.9684309909459357</v>
      </c>
      <c r="K138" s="19">
        <f t="shared" si="6"/>
        <v>2.9311911098635186E-2</v>
      </c>
      <c r="L138" s="18">
        <f t="shared" si="7"/>
        <v>-0.98400399803683924</v>
      </c>
      <c r="M138" s="19">
        <f t="shared" si="8"/>
        <v>1.4652806140436151E-2</v>
      </c>
      <c r="N138" s="19">
        <f t="shared" si="11"/>
        <v>6.4655172413793132</v>
      </c>
      <c r="O138" s="22">
        <f t="shared" si="9"/>
        <v>-34.101164890105764</v>
      </c>
    </row>
    <row r="139" spans="4:15" x14ac:dyDescent="0.25">
      <c r="D139" s="21" t="e">
        <f t="shared" si="0"/>
        <v>#NUM!</v>
      </c>
      <c r="E139" s="22">
        <f t="shared" si="10"/>
        <v>0.22097989448592736</v>
      </c>
      <c r="F139" s="18">
        <f t="shared" si="2"/>
        <v>-3.76065280397688E-4</v>
      </c>
      <c r="G139" s="18">
        <f t="shared" si="3"/>
        <v>5.5999890862331502E-6</v>
      </c>
      <c r="H139" s="18">
        <f t="shared" si="1"/>
        <v>-0.52686629398455276</v>
      </c>
      <c r="I139" s="19">
        <f t="shared" si="4"/>
        <v>7.8455673788803727E-3</v>
      </c>
      <c r="J139" s="18">
        <f t="shared" si="5"/>
        <v>-1.8927834531692835</v>
      </c>
      <c r="K139" s="19">
        <f t="shared" si="6"/>
        <v>2.8185443413286302E-2</v>
      </c>
      <c r="L139" s="18">
        <f t="shared" si="7"/>
        <v>-0.94620369394444293</v>
      </c>
      <c r="M139" s="19">
        <f t="shared" si="8"/>
        <v>1.4089921712100035E-2</v>
      </c>
      <c r="N139" s="19">
        <f t="shared" si="11"/>
        <v>6.7241379310344858</v>
      </c>
      <c r="O139" s="22">
        <f t="shared" si="9"/>
        <v>-35.465211485709993</v>
      </c>
    </row>
    <row r="140" spans="4:15" x14ac:dyDescent="0.25">
      <c r="D140" s="21" t="e">
        <f t="shared" si="0"/>
        <v>#NUM!</v>
      </c>
      <c r="E140" s="22">
        <f t="shared" si="10"/>
        <v>0.22947912119692457</v>
      </c>
      <c r="F140" s="18">
        <f t="shared" si="2"/>
        <v>-3.3582813488325586E-4</v>
      </c>
      <c r="G140" s="18">
        <f t="shared" si="3"/>
        <v>5.000817645828676E-6</v>
      </c>
      <c r="H140" s="18">
        <f t="shared" si="1"/>
        <v>-0.50736005489019542</v>
      </c>
      <c r="I140" s="19">
        <f t="shared" si="4"/>
        <v>7.5550999208732423E-3</v>
      </c>
      <c r="J140" s="18">
        <f t="shared" si="5"/>
        <v>-1.8227330000731543</v>
      </c>
      <c r="K140" s="19">
        <f t="shared" si="6"/>
        <v>2.7142321930736322E-2</v>
      </c>
      <c r="L140" s="18">
        <f t="shared" si="7"/>
        <v>-0.9111985859691355</v>
      </c>
      <c r="M140" s="19">
        <f t="shared" si="8"/>
        <v>1.3568660556545245E-2</v>
      </c>
      <c r="N140" s="19">
        <f t="shared" si="11"/>
        <v>6.9827586206896584</v>
      </c>
      <c r="O140" s="22">
        <f t="shared" si="9"/>
        <v>-36.829258081314222</v>
      </c>
    </row>
    <row r="141" spans="4:15" x14ac:dyDescent="0.25">
      <c r="D141" s="21" t="e">
        <f t="shared" si="0"/>
        <v>#NUM!</v>
      </c>
      <c r="E141" s="22">
        <f t="shared" si="10"/>
        <v>0.23797834790792177</v>
      </c>
      <c r="F141" s="18">
        <f t="shared" si="2"/>
        <v>-3.0113187187595631E-4</v>
      </c>
      <c r="G141" s="18">
        <f t="shared" si="3"/>
        <v>4.4841555015103217E-6</v>
      </c>
      <c r="H141" s="18">
        <f t="shared" si="1"/>
        <v>-0.48924637550308581</v>
      </c>
      <c r="I141" s="19">
        <f t="shared" si="4"/>
        <v>7.2853690731542733E-3</v>
      </c>
      <c r="J141" s="18">
        <f t="shared" si="5"/>
        <v>-1.7576808138814364</v>
      </c>
      <c r="K141" s="19">
        <f t="shared" si="6"/>
        <v>2.6173629653895476E-2</v>
      </c>
      <c r="L141" s="18">
        <f t="shared" si="7"/>
        <v>-0.8786898410047802</v>
      </c>
      <c r="M141" s="19">
        <f t="shared" si="8"/>
        <v>1.3084572749196983E-2</v>
      </c>
      <c r="N141" s="19">
        <f t="shared" si="11"/>
        <v>7.241379310344831</v>
      </c>
      <c r="O141" s="22">
        <f t="shared" si="9"/>
        <v>-38.193304676918459</v>
      </c>
    </row>
    <row r="142" spans="4:15" ht="13.8" thickBot="1" x14ac:dyDescent="0.3">
      <c r="D142" s="23" t="e">
        <f t="shared" si="0"/>
        <v>#NUM!</v>
      </c>
      <c r="E142" s="25">
        <f>1.3*C50</f>
        <v>0.24647757461891909</v>
      </c>
      <c r="F142" s="91">
        <f t="shared" si="2"/>
        <v>-2.7105473040441762E-4</v>
      </c>
      <c r="G142" s="91">
        <f t="shared" si="3"/>
        <v>4.0362767082125439E-6</v>
      </c>
      <c r="H142" s="91">
        <f t="shared" si="1"/>
        <v>-0.47238129510150645</v>
      </c>
      <c r="I142" s="24">
        <f t="shared" si="4"/>
        <v>7.0342311162351588E-3</v>
      </c>
      <c r="J142" s="91">
        <f t="shared" si="5"/>
        <v>-1.697110530255667</v>
      </c>
      <c r="K142" s="24">
        <f t="shared" si="6"/>
        <v>2.5271677400032375E-2</v>
      </c>
      <c r="L142" s="91">
        <f t="shared" si="7"/>
        <v>-0.84841973776263135</v>
      </c>
      <c r="M142" s="24">
        <f t="shared" si="8"/>
        <v>1.263382056166208E-2</v>
      </c>
      <c r="N142" s="24">
        <f>0.15*C34</f>
        <v>7.5</v>
      </c>
      <c r="O142" s="25">
        <f t="shared" si="9"/>
        <v>-39.557351272522666</v>
      </c>
    </row>
  </sheetData>
  <sheetProtection sheet="1" objects="1"/>
  <mergeCells count="7">
    <mergeCell ref="D111:E111"/>
    <mergeCell ref="F111:O111"/>
    <mergeCell ref="A1:L1"/>
    <mergeCell ref="J98:K98"/>
    <mergeCell ref="J99:K99"/>
    <mergeCell ref="A100:L100"/>
    <mergeCell ref="B3:K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G100"/>
  <sheetViews>
    <sheetView showGridLines="0" zoomScaleNormal="100" workbookViewId="0">
      <selection activeCell="F1" sqref="F1"/>
    </sheetView>
  </sheetViews>
  <sheetFormatPr baseColWidth="10" defaultRowHeight="13.2" x14ac:dyDescent="0.25"/>
  <cols>
    <col min="1" max="1" width="8.44140625" customWidth="1"/>
    <col min="2" max="2" width="51.44140625" customWidth="1"/>
    <col min="5" max="5" width="9.33203125" customWidth="1"/>
  </cols>
  <sheetData>
    <row r="1" spans="1:7" ht="54.75" customHeight="1" x14ac:dyDescent="0.7">
      <c r="A1" s="165" t="s">
        <v>105</v>
      </c>
      <c r="B1" s="166"/>
      <c r="C1" s="166"/>
      <c r="D1" s="166"/>
      <c r="E1" s="167"/>
      <c r="F1" s="28"/>
      <c r="G1" s="28"/>
    </row>
    <row r="2" spans="1:7" x14ac:dyDescent="0.25">
      <c r="A2" s="15"/>
      <c r="B2" s="16"/>
      <c r="C2" s="16"/>
      <c r="D2" s="16"/>
      <c r="E2" s="1"/>
    </row>
    <row r="3" spans="1:7" ht="213.75" customHeight="1" x14ac:dyDescent="0.25">
      <c r="B3" s="160" t="s">
        <v>114</v>
      </c>
      <c r="C3" s="160"/>
      <c r="D3" s="160"/>
      <c r="E3" s="98"/>
      <c r="F3" s="3"/>
      <c r="G3" s="31"/>
    </row>
    <row r="4" spans="1:7" x14ac:dyDescent="0.25">
      <c r="A4" s="15"/>
      <c r="B4" s="16"/>
      <c r="C4" s="16"/>
      <c r="D4" s="16"/>
      <c r="E4" s="1"/>
    </row>
    <row r="5" spans="1:7" x14ac:dyDescent="0.25">
      <c r="A5" s="15"/>
      <c r="B5" s="16"/>
      <c r="C5" s="16"/>
      <c r="D5" s="16"/>
      <c r="E5" s="1"/>
    </row>
    <row r="6" spans="1:7" x14ac:dyDescent="0.25">
      <c r="A6" s="15"/>
      <c r="B6" s="16"/>
      <c r="C6" s="16"/>
      <c r="D6" s="16"/>
      <c r="E6" s="1"/>
    </row>
    <row r="7" spans="1:7" x14ac:dyDescent="0.25">
      <c r="A7" s="15"/>
      <c r="B7" s="16"/>
      <c r="C7" s="16"/>
      <c r="D7" s="16"/>
      <c r="E7" s="1"/>
    </row>
    <row r="8" spans="1:7" x14ac:dyDescent="0.25">
      <c r="A8" s="15"/>
      <c r="B8" s="16"/>
      <c r="C8" s="16"/>
      <c r="D8" s="16"/>
      <c r="E8" s="1"/>
    </row>
    <row r="9" spans="1:7" x14ac:dyDescent="0.25">
      <c r="A9" s="15"/>
      <c r="B9" s="16"/>
      <c r="C9" s="16"/>
      <c r="D9" s="16"/>
      <c r="E9" s="1"/>
    </row>
    <row r="10" spans="1:7" x14ac:dyDescent="0.25">
      <c r="A10" s="15"/>
      <c r="B10" s="16"/>
      <c r="C10" s="16"/>
      <c r="D10" s="16"/>
      <c r="E10" s="1"/>
    </row>
    <row r="11" spans="1:7" x14ac:dyDescent="0.25">
      <c r="A11" s="15"/>
      <c r="B11" s="16"/>
      <c r="C11" s="16"/>
      <c r="D11" s="16"/>
      <c r="E11" s="1"/>
    </row>
    <row r="12" spans="1:7" x14ac:dyDescent="0.25">
      <c r="A12" s="15"/>
      <c r="B12" s="16"/>
      <c r="C12" s="16"/>
      <c r="D12" s="16"/>
      <c r="E12" s="1"/>
    </row>
    <row r="13" spans="1:7" x14ac:dyDescent="0.25">
      <c r="A13" s="15"/>
      <c r="B13" s="16"/>
      <c r="C13" s="16"/>
      <c r="D13" s="16"/>
      <c r="E13" s="1"/>
    </row>
    <row r="14" spans="1:7" x14ac:dyDescent="0.25">
      <c r="A14" s="15"/>
      <c r="B14" s="16"/>
      <c r="C14" s="16"/>
      <c r="D14" s="16"/>
      <c r="E14" s="1"/>
    </row>
    <row r="15" spans="1:7" x14ac:dyDescent="0.25">
      <c r="A15" s="15"/>
      <c r="B15" s="16"/>
      <c r="C15" s="16"/>
      <c r="D15" s="16"/>
      <c r="E15" s="1"/>
    </row>
    <row r="16" spans="1:7" x14ac:dyDescent="0.25">
      <c r="A16" s="15"/>
      <c r="B16" s="16"/>
      <c r="C16" s="16"/>
      <c r="D16" s="16"/>
      <c r="E16" s="1"/>
    </row>
    <row r="17" spans="1:5" x14ac:dyDescent="0.25">
      <c r="A17" s="15"/>
      <c r="B17" s="16"/>
      <c r="C17" s="16"/>
      <c r="D17" s="16"/>
      <c r="E17" s="1"/>
    </row>
    <row r="18" spans="1:5" x14ac:dyDescent="0.25">
      <c r="A18" s="15"/>
      <c r="B18" s="16"/>
      <c r="C18" s="16"/>
      <c r="D18" s="16"/>
      <c r="E18" s="1"/>
    </row>
    <row r="19" spans="1:5" x14ac:dyDescent="0.25">
      <c r="A19" s="15"/>
      <c r="B19" s="16"/>
      <c r="C19" s="16"/>
      <c r="D19" s="16"/>
      <c r="E19" s="1"/>
    </row>
    <row r="20" spans="1:5" x14ac:dyDescent="0.25">
      <c r="A20" s="15"/>
      <c r="B20" s="16"/>
      <c r="C20" s="16"/>
      <c r="D20" s="16"/>
      <c r="E20" s="1"/>
    </row>
    <row r="21" spans="1:5" x14ac:dyDescent="0.25">
      <c r="A21" s="15"/>
      <c r="D21" s="16"/>
      <c r="E21" s="1"/>
    </row>
    <row r="22" spans="1:5" x14ac:dyDescent="0.25">
      <c r="A22" s="15"/>
      <c r="D22" s="16"/>
      <c r="E22" s="1"/>
    </row>
    <row r="23" spans="1:5" ht="13.8" thickBot="1" x14ac:dyDescent="0.3">
      <c r="A23" s="15"/>
      <c r="D23" s="16"/>
      <c r="E23" s="1"/>
    </row>
    <row r="24" spans="1:5" x14ac:dyDescent="0.25">
      <c r="A24" s="15"/>
      <c r="B24" s="4" t="s">
        <v>0</v>
      </c>
      <c r="C24" s="10"/>
      <c r="D24" s="16"/>
      <c r="E24" s="1"/>
    </row>
    <row r="25" spans="1:5" x14ac:dyDescent="0.25">
      <c r="A25" s="15"/>
      <c r="B25" s="8" t="s">
        <v>1</v>
      </c>
      <c r="C25" s="11"/>
      <c r="D25" s="16"/>
      <c r="E25" s="1"/>
    </row>
    <row r="26" spans="1:5" x14ac:dyDescent="0.25">
      <c r="A26" s="15"/>
      <c r="B26" s="5" t="s">
        <v>37</v>
      </c>
      <c r="C26" s="96">
        <v>10</v>
      </c>
      <c r="D26" s="16"/>
      <c r="E26" s="1"/>
    </row>
    <row r="27" spans="1:5" ht="15.6" x14ac:dyDescent="0.35">
      <c r="A27" s="15"/>
      <c r="B27" s="5" t="s">
        <v>2</v>
      </c>
      <c r="C27" s="96">
        <v>2250</v>
      </c>
      <c r="D27" s="16"/>
      <c r="E27" s="1"/>
    </row>
    <row r="28" spans="1:5" x14ac:dyDescent="0.25">
      <c r="A28" s="15"/>
      <c r="B28" s="8" t="s">
        <v>38</v>
      </c>
      <c r="C28" s="12"/>
      <c r="D28" s="16"/>
      <c r="E28" s="1"/>
    </row>
    <row r="29" spans="1:5" x14ac:dyDescent="0.25">
      <c r="A29" s="15"/>
      <c r="B29" s="5" t="s">
        <v>45</v>
      </c>
      <c r="C29" s="96">
        <v>130000</v>
      </c>
      <c r="D29" s="16"/>
      <c r="E29" s="1"/>
    </row>
    <row r="30" spans="1:5" ht="13.8" x14ac:dyDescent="0.3">
      <c r="A30" s="15"/>
      <c r="B30" s="5" t="s">
        <v>46</v>
      </c>
      <c r="C30" s="96">
        <v>0.27829999999999999</v>
      </c>
      <c r="D30" s="16"/>
      <c r="E30" s="1"/>
    </row>
    <row r="31" spans="1:5" ht="15.6" x14ac:dyDescent="0.35">
      <c r="A31" s="15"/>
      <c r="B31" s="33" t="s">
        <v>94</v>
      </c>
      <c r="C31" s="96"/>
      <c r="D31" s="16"/>
      <c r="E31" s="1"/>
    </row>
    <row r="32" spans="1:5" ht="15.6" x14ac:dyDescent="0.35">
      <c r="A32" s="15"/>
      <c r="B32" s="33" t="s">
        <v>93</v>
      </c>
      <c r="C32" s="96"/>
      <c r="D32" s="16"/>
      <c r="E32" s="1"/>
    </row>
    <row r="33" spans="1:5" x14ac:dyDescent="0.25">
      <c r="A33" s="15"/>
      <c r="B33" s="6" t="s">
        <v>95</v>
      </c>
      <c r="C33" s="12"/>
      <c r="D33" s="16"/>
      <c r="E33" s="1"/>
    </row>
    <row r="34" spans="1:5" ht="15.6" x14ac:dyDescent="0.35">
      <c r="A34" s="15"/>
      <c r="B34" s="7" t="s">
        <v>75</v>
      </c>
      <c r="C34" s="105">
        <f>C$27/(2*PI()*$C$26^2)</f>
        <v>3.5809862195676452</v>
      </c>
      <c r="D34" s="16"/>
      <c r="E34" s="1"/>
    </row>
    <row r="35" spans="1:5" ht="15.6" x14ac:dyDescent="0.35">
      <c r="A35" s="15"/>
      <c r="B35" s="7" t="s">
        <v>10</v>
      </c>
      <c r="C35" s="105">
        <f>2*C34</f>
        <v>7.1619724391352904</v>
      </c>
      <c r="D35" s="16"/>
      <c r="E35" s="1"/>
    </row>
    <row r="36" spans="1:5" ht="14.4" thickBot="1" x14ac:dyDescent="0.35">
      <c r="A36" s="15"/>
      <c r="B36" s="9" t="s">
        <v>11</v>
      </c>
      <c r="C36" s="117">
        <f>((1-C30^2)/(2*C29))*(C27/C26)</f>
        <v>7.9835980673076932E-4</v>
      </c>
      <c r="D36" s="16"/>
      <c r="E36" s="1"/>
    </row>
    <row r="37" spans="1:5" x14ac:dyDescent="0.25">
      <c r="A37" s="15"/>
      <c r="B37" s="16"/>
      <c r="C37" s="16"/>
      <c r="D37" s="16"/>
      <c r="E37" s="1"/>
    </row>
    <row r="38" spans="1:5" x14ac:dyDescent="0.25">
      <c r="A38" s="15"/>
      <c r="B38" s="16"/>
      <c r="C38" s="16"/>
      <c r="D38" s="16"/>
      <c r="E38" s="1"/>
    </row>
    <row r="39" spans="1:5" x14ac:dyDescent="0.25">
      <c r="A39" s="15"/>
      <c r="B39" s="16"/>
      <c r="C39" s="16"/>
      <c r="D39" s="16"/>
      <c r="E39" s="1"/>
    </row>
    <row r="40" spans="1:5" x14ac:dyDescent="0.25">
      <c r="A40" s="15"/>
      <c r="B40" s="16"/>
      <c r="C40" s="16"/>
      <c r="D40" s="16"/>
      <c r="E40" s="1"/>
    </row>
    <row r="41" spans="1:5" x14ac:dyDescent="0.25">
      <c r="A41" s="15"/>
      <c r="B41" s="16"/>
      <c r="C41" s="16"/>
      <c r="D41" s="16"/>
      <c r="E41" s="1"/>
    </row>
    <row r="42" spans="1:5" x14ac:dyDescent="0.25">
      <c r="A42" s="15"/>
      <c r="B42" s="16"/>
      <c r="C42" s="16"/>
      <c r="D42" s="16"/>
      <c r="E42" s="1"/>
    </row>
    <row r="43" spans="1:5" x14ac:dyDescent="0.25">
      <c r="A43" s="15"/>
      <c r="B43" s="16"/>
      <c r="C43" s="16"/>
      <c r="D43" s="16"/>
      <c r="E43" s="1"/>
    </row>
    <row r="44" spans="1:5" x14ac:dyDescent="0.25">
      <c r="A44" s="15"/>
      <c r="B44" s="16"/>
      <c r="C44" s="16"/>
      <c r="D44" s="16"/>
      <c r="E44" s="1"/>
    </row>
    <row r="45" spans="1:5" x14ac:dyDescent="0.25">
      <c r="A45" s="15"/>
      <c r="B45" s="16"/>
      <c r="C45" s="16"/>
      <c r="D45" s="16"/>
      <c r="E45" s="1"/>
    </row>
    <row r="46" spans="1:5" x14ac:dyDescent="0.25">
      <c r="A46" s="15"/>
      <c r="B46" s="16"/>
      <c r="C46" s="16"/>
      <c r="D46" s="16"/>
      <c r="E46" s="1"/>
    </row>
    <row r="47" spans="1:5" x14ac:dyDescent="0.25">
      <c r="A47" s="15"/>
      <c r="B47" s="16"/>
      <c r="C47" s="16"/>
      <c r="D47" s="16"/>
      <c r="E47" s="1"/>
    </row>
    <row r="48" spans="1:5" x14ac:dyDescent="0.25">
      <c r="A48" s="15"/>
      <c r="B48" s="16"/>
      <c r="C48" s="16"/>
      <c r="D48" s="16"/>
      <c r="E48" s="1"/>
    </row>
    <row r="49" spans="1:5" x14ac:dyDescent="0.25">
      <c r="A49" s="15"/>
      <c r="B49" s="16"/>
      <c r="C49" s="16"/>
      <c r="D49" s="16"/>
      <c r="E49" s="1"/>
    </row>
    <row r="50" spans="1:5" x14ac:dyDescent="0.25">
      <c r="A50" s="15"/>
      <c r="B50" s="16"/>
      <c r="C50" s="16"/>
      <c r="D50" s="16"/>
      <c r="E50" s="1"/>
    </row>
    <row r="51" spans="1:5" x14ac:dyDescent="0.25">
      <c r="A51" s="15"/>
      <c r="B51" s="16"/>
      <c r="C51" s="16"/>
      <c r="D51" s="16"/>
      <c r="E51" s="1"/>
    </row>
    <row r="52" spans="1:5" x14ac:dyDescent="0.25">
      <c r="A52" s="15"/>
      <c r="B52" s="16"/>
      <c r="C52" s="16"/>
      <c r="D52" s="16"/>
      <c r="E52" s="1"/>
    </row>
    <row r="53" spans="1:5" x14ac:dyDescent="0.25">
      <c r="A53" s="15"/>
      <c r="B53" s="16"/>
      <c r="C53" s="16"/>
      <c r="D53" s="16"/>
      <c r="E53" s="1"/>
    </row>
    <row r="54" spans="1:5" x14ac:dyDescent="0.25">
      <c r="A54" s="15"/>
      <c r="B54" s="16"/>
      <c r="C54" s="16"/>
      <c r="D54" s="16"/>
      <c r="E54" s="1"/>
    </row>
    <row r="55" spans="1:5" x14ac:dyDescent="0.25">
      <c r="A55" s="15"/>
      <c r="B55" s="16"/>
      <c r="C55" s="16"/>
      <c r="D55" s="16"/>
      <c r="E55" s="1"/>
    </row>
    <row r="56" spans="1:5" x14ac:dyDescent="0.25">
      <c r="A56" s="15"/>
      <c r="B56" s="16"/>
      <c r="C56" s="16"/>
      <c r="D56" s="16"/>
      <c r="E56" s="1"/>
    </row>
    <row r="57" spans="1:5" x14ac:dyDescent="0.25">
      <c r="A57" s="15"/>
      <c r="B57" s="16"/>
      <c r="C57" s="16"/>
      <c r="D57" s="16"/>
      <c r="E57" s="1"/>
    </row>
    <row r="58" spans="1:5" x14ac:dyDescent="0.25">
      <c r="A58" s="15"/>
      <c r="B58" s="16"/>
      <c r="C58" s="16"/>
      <c r="D58" s="16"/>
      <c r="E58" s="1"/>
    </row>
    <row r="59" spans="1:5" x14ac:dyDescent="0.25">
      <c r="A59" s="15"/>
      <c r="B59" s="16"/>
      <c r="C59" s="16"/>
      <c r="D59" s="16"/>
      <c r="E59" s="1"/>
    </row>
    <row r="60" spans="1:5" x14ac:dyDescent="0.25">
      <c r="A60" s="15"/>
      <c r="B60" s="16"/>
      <c r="C60" s="16"/>
      <c r="D60" s="16"/>
      <c r="E60" s="1"/>
    </row>
    <row r="61" spans="1:5" x14ac:dyDescent="0.25">
      <c r="A61" s="15"/>
      <c r="B61" s="16"/>
      <c r="C61" s="16"/>
      <c r="D61" s="16"/>
      <c r="E61" s="1"/>
    </row>
    <row r="62" spans="1:5" x14ac:dyDescent="0.25">
      <c r="A62" s="15"/>
      <c r="B62" s="16"/>
      <c r="C62" s="16"/>
      <c r="D62" s="16"/>
      <c r="E62" s="1"/>
    </row>
    <row r="63" spans="1:5" x14ac:dyDescent="0.25">
      <c r="A63" s="15"/>
      <c r="B63" s="16"/>
      <c r="C63" s="16"/>
      <c r="D63" s="16"/>
      <c r="E63" s="1"/>
    </row>
    <row r="64" spans="1:5" x14ac:dyDescent="0.25">
      <c r="A64" s="99"/>
      <c r="B64" s="100"/>
      <c r="C64" s="101" t="s">
        <v>43</v>
      </c>
      <c r="D64" s="100" t="str">
        <f ca="1">MID(CELL("filename",A1),FIND("[",CELL("filename",A1))+1,SUM(FIND({"[";"]"},CELL("filename",A1))*{-1;1})-1)</f>
        <v>calcul-de-hertz-V3.xlsx</v>
      </c>
      <c r="E64" s="102"/>
    </row>
    <row r="65" spans="1:5" x14ac:dyDescent="0.25">
      <c r="A65" s="99"/>
      <c r="B65" s="100"/>
      <c r="C65" s="101" t="s">
        <v>44</v>
      </c>
      <c r="D65" s="103">
        <f>GENERAL!L45</f>
        <v>42515</v>
      </c>
      <c r="E65" s="102"/>
    </row>
    <row r="66" spans="1:5" ht="13.8" thickBot="1" x14ac:dyDescent="0.3">
      <c r="A66" s="148" t="s">
        <v>42</v>
      </c>
      <c r="B66" s="149"/>
      <c r="C66" s="149"/>
      <c r="D66" s="149"/>
      <c r="E66" s="150"/>
    </row>
    <row r="68" spans="1:5" ht="13.8" thickBot="1" x14ac:dyDescent="0.3"/>
    <row r="69" spans="1:5" x14ac:dyDescent="0.25">
      <c r="C69" s="29" t="s">
        <v>40</v>
      </c>
      <c r="D69" s="30" t="s">
        <v>39</v>
      </c>
    </row>
    <row r="70" spans="1:5" x14ac:dyDescent="0.25">
      <c r="C70" s="21">
        <f t="shared" ref="C70:C100" si="0">$C$27/(2*PI()*($C$26^2)*SQRT(1-(D70^2)/($C$26^2)))</f>
        <v>3.5809862195676452</v>
      </c>
      <c r="D70" s="22">
        <f>0</f>
        <v>0</v>
      </c>
    </row>
    <row r="71" spans="1:5" x14ac:dyDescent="0.25">
      <c r="C71" s="21">
        <f t="shared" si="0"/>
        <v>3.5830746828532898</v>
      </c>
      <c r="D71" s="22">
        <f t="shared" ref="D71:D98" si="1">D70+($D$99-$D$70)/29</f>
        <v>0.3413793103448276</v>
      </c>
    </row>
    <row r="72" spans="1:5" x14ac:dyDescent="0.25">
      <c r="C72" s="21">
        <f t="shared" si="0"/>
        <v>3.5893620653181437</v>
      </c>
      <c r="D72" s="22">
        <f t="shared" si="1"/>
        <v>0.6827586206896552</v>
      </c>
    </row>
    <row r="73" spans="1:5" x14ac:dyDescent="0.25">
      <c r="C73" s="21">
        <f t="shared" si="0"/>
        <v>3.5999149916344613</v>
      </c>
      <c r="D73" s="22">
        <f t="shared" si="1"/>
        <v>1.0241379310344829</v>
      </c>
    </row>
    <row r="74" spans="1:5" x14ac:dyDescent="0.25">
      <c r="C74" s="21">
        <f t="shared" si="0"/>
        <v>3.6148466966684909</v>
      </c>
      <c r="D74" s="22">
        <f t="shared" si="1"/>
        <v>1.3655172413793104</v>
      </c>
    </row>
    <row r="75" spans="1:5" x14ac:dyDescent="0.25">
      <c r="C75" s="21">
        <f t="shared" si="0"/>
        <v>3.6343204512913236</v>
      </c>
      <c r="D75" s="22">
        <f t="shared" si="1"/>
        <v>1.7068965517241379</v>
      </c>
    </row>
    <row r="76" spans="1:5" x14ac:dyDescent="0.25">
      <c r="C76" s="21">
        <f t="shared" si="0"/>
        <v>3.6585546425645976</v>
      </c>
      <c r="D76" s="22">
        <f t="shared" si="1"/>
        <v>2.0482758620689654</v>
      </c>
    </row>
    <row r="77" spans="1:5" x14ac:dyDescent="0.25">
      <c r="C77" s="21">
        <f t="shared" si="0"/>
        <v>3.6878298263151321</v>
      </c>
      <c r="D77" s="22">
        <f t="shared" si="1"/>
        <v>2.3896551724137929</v>
      </c>
    </row>
    <row r="78" spans="1:5" x14ac:dyDescent="0.25">
      <c r="C78" s="21">
        <f t="shared" si="0"/>
        <v>3.72249821527598</v>
      </c>
      <c r="D78" s="22">
        <f t="shared" si="1"/>
        <v>2.7310344827586204</v>
      </c>
    </row>
    <row r="79" spans="1:5" x14ac:dyDescent="0.25">
      <c r="C79" s="21">
        <f t="shared" si="0"/>
        <v>3.7629962633378109</v>
      </c>
      <c r="D79" s="22">
        <f t="shared" si="1"/>
        <v>3.0724137931034479</v>
      </c>
    </row>
    <row r="80" spans="1:5" x14ac:dyDescent="0.25">
      <c r="C80" s="21">
        <f t="shared" si="0"/>
        <v>3.8098612835129204</v>
      </c>
      <c r="D80" s="22">
        <f t="shared" si="1"/>
        <v>3.4137931034482754</v>
      </c>
    </row>
    <row r="81" spans="3:4" x14ac:dyDescent="0.25">
      <c r="C81" s="21">
        <f t="shared" si="0"/>
        <v>3.8637534364864439</v>
      </c>
      <c r="D81" s="22">
        <f t="shared" si="1"/>
        <v>3.7551724137931028</v>
      </c>
    </row>
    <row r="82" spans="3:4" x14ac:dyDescent="0.25">
      <c r="C82" s="21">
        <f t="shared" si="0"/>
        <v>3.925485015715231</v>
      </c>
      <c r="D82" s="22">
        <f t="shared" si="1"/>
        <v>4.0965517241379308</v>
      </c>
    </row>
    <row r="83" spans="3:4" x14ac:dyDescent="0.25">
      <c r="C83" s="21">
        <f t="shared" si="0"/>
        <v>3.9960598442128865</v>
      </c>
      <c r="D83" s="22">
        <f t="shared" si="1"/>
        <v>4.4379310344827587</v>
      </c>
    </row>
    <row r="84" spans="3:4" x14ac:dyDescent="0.25">
      <c r="C84" s="21">
        <f t="shared" si="0"/>
        <v>4.0767269721386024</v>
      </c>
      <c r="D84" s="22">
        <f t="shared" si="1"/>
        <v>4.7793103448275867</v>
      </c>
    </row>
    <row r="85" spans="3:4" x14ac:dyDescent="0.25">
      <c r="C85" s="21">
        <f t="shared" si="0"/>
        <v>4.1690550413153709</v>
      </c>
      <c r="D85" s="22">
        <f t="shared" si="1"/>
        <v>5.1206896551724146</v>
      </c>
    </row>
    <row r="86" spans="3:4" x14ac:dyDescent="0.25">
      <c r="C86" s="21">
        <f t="shared" si="0"/>
        <v>4.2750372283507145</v>
      </c>
      <c r="D86" s="22">
        <f t="shared" si="1"/>
        <v>5.4620689655172425</v>
      </c>
    </row>
    <row r="87" spans="3:4" x14ac:dyDescent="0.25">
      <c r="C87" s="21">
        <f t="shared" si="0"/>
        <v>4.3972426324004816</v>
      </c>
      <c r="D87" s="22">
        <f t="shared" si="1"/>
        <v>5.8034482758620705</v>
      </c>
    </row>
    <row r="88" spans="3:4" x14ac:dyDescent="0.25">
      <c r="C88" s="21">
        <f t="shared" si="0"/>
        <v>4.5390403265538737</v>
      </c>
      <c r="D88" s="22">
        <f t="shared" si="1"/>
        <v>6.1448275862068984</v>
      </c>
    </row>
    <row r="89" spans="3:4" x14ac:dyDescent="0.25">
      <c r="C89" s="21">
        <f t="shared" si="0"/>
        <v>4.7049410223187547</v>
      </c>
      <c r="D89" s="22">
        <f t="shared" si="1"/>
        <v>6.4862068965517263</v>
      </c>
    </row>
    <row r="90" spans="3:4" x14ac:dyDescent="0.25">
      <c r="C90" s="21">
        <f t="shared" si="0"/>
        <v>4.9011367809919832</v>
      </c>
      <c r="D90" s="22">
        <f t="shared" si="1"/>
        <v>6.8275862068965543</v>
      </c>
    </row>
    <row r="91" spans="3:4" x14ac:dyDescent="0.25">
      <c r="C91" s="21">
        <f t="shared" si="0"/>
        <v>5.1363901676726993</v>
      </c>
      <c r="D91" s="22">
        <f t="shared" si="1"/>
        <v>7.1689655172413822</v>
      </c>
    </row>
    <row r="92" spans="3:4" x14ac:dyDescent="0.25">
      <c r="C92" s="21">
        <f t="shared" si="0"/>
        <v>5.4235756296009026</v>
      </c>
      <c r="D92" s="22">
        <f t="shared" si="1"/>
        <v>7.5103448275862101</v>
      </c>
    </row>
    <row r="93" spans="3:4" x14ac:dyDescent="0.25">
      <c r="C93" s="21">
        <f t="shared" si="0"/>
        <v>5.7825253031620019</v>
      </c>
      <c r="D93" s="22">
        <f t="shared" si="1"/>
        <v>7.8517241379310381</v>
      </c>
    </row>
    <row r="94" spans="3:4" x14ac:dyDescent="0.25">
      <c r="C94" s="21">
        <f t="shared" si="0"/>
        <v>6.2457214398308816</v>
      </c>
      <c r="D94" s="22">
        <f t="shared" si="1"/>
        <v>8.1931034482758651</v>
      </c>
    </row>
    <row r="95" spans="3:4" x14ac:dyDescent="0.25">
      <c r="C95" s="21">
        <f t="shared" si="0"/>
        <v>6.8709525336916863</v>
      </c>
      <c r="D95" s="22">
        <f t="shared" si="1"/>
        <v>8.5344827586206922</v>
      </c>
    </row>
    <row r="96" spans="3:4" x14ac:dyDescent="0.25">
      <c r="C96" s="21">
        <f t="shared" si="0"/>
        <v>7.773908973693314</v>
      </c>
      <c r="D96" s="22">
        <f t="shared" si="1"/>
        <v>8.8758620689655192</v>
      </c>
    </row>
    <row r="97" spans="3:4" x14ac:dyDescent="0.25">
      <c r="C97" s="21">
        <f t="shared" si="0"/>
        <v>9.233007695336017</v>
      </c>
      <c r="D97" s="22">
        <f t="shared" si="1"/>
        <v>9.2172413793103463</v>
      </c>
    </row>
    <row r="98" spans="3:4" x14ac:dyDescent="0.25">
      <c r="C98" s="21">
        <f t="shared" si="0"/>
        <v>12.187862661348136</v>
      </c>
      <c r="D98" s="22">
        <f t="shared" si="1"/>
        <v>9.5586206896551733</v>
      </c>
    </row>
    <row r="99" spans="3:4" x14ac:dyDescent="0.25">
      <c r="C99" s="21">
        <f t="shared" si="0"/>
        <v>25.384938264453627</v>
      </c>
      <c r="D99" s="22">
        <f>C26*0.99</f>
        <v>9.9</v>
      </c>
    </row>
    <row r="100" spans="3:4" ht="13.8" thickBot="1" x14ac:dyDescent="0.3">
      <c r="C100" s="23" t="e">
        <f t="shared" si="0"/>
        <v>#DIV/0!</v>
      </c>
      <c r="D100" s="25">
        <f>C26</f>
        <v>10</v>
      </c>
    </row>
  </sheetData>
  <sheetProtection sheet="1"/>
  <mergeCells count="3">
    <mergeCell ref="A1:E1"/>
    <mergeCell ref="A66:E66"/>
    <mergeCell ref="B3:D3"/>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L50"/>
  <sheetViews>
    <sheetView showGridLines="0" zoomScaleNormal="100" zoomScaleSheetLayoutView="100" workbookViewId="0">
      <selection activeCell="M1" sqref="M1"/>
    </sheetView>
  </sheetViews>
  <sheetFormatPr baseColWidth="10" defaultColWidth="11.44140625" defaultRowHeight="13.2" x14ac:dyDescent="0.25"/>
  <cols>
    <col min="1" max="16384" width="11.44140625" style="41"/>
  </cols>
  <sheetData>
    <row r="1" spans="1:12" ht="30" x14ac:dyDescent="0.7">
      <c r="A1" s="38" t="s">
        <v>54</v>
      </c>
      <c r="B1" s="39"/>
      <c r="C1" s="39"/>
      <c r="D1" s="39"/>
      <c r="E1" s="39"/>
      <c r="F1" s="39"/>
      <c r="G1" s="39"/>
      <c r="H1" s="39"/>
      <c r="I1" s="39"/>
      <c r="J1" s="39"/>
      <c r="K1" s="39"/>
      <c r="L1" s="40"/>
    </row>
    <row r="2" spans="1:12" x14ac:dyDescent="0.25">
      <c r="A2" s="42"/>
      <c r="B2" s="43"/>
      <c r="C2" s="43"/>
      <c r="D2" s="43"/>
      <c r="E2" s="43"/>
      <c r="F2" s="43"/>
      <c r="G2" s="43"/>
      <c r="H2" s="43"/>
      <c r="I2" s="44"/>
      <c r="J2" s="44"/>
      <c r="K2" s="44"/>
      <c r="L2" s="45"/>
    </row>
    <row r="3" spans="1:12" x14ac:dyDescent="0.25">
      <c r="A3" s="46" t="s">
        <v>65</v>
      </c>
      <c r="B3" s="43"/>
      <c r="C3" s="43"/>
      <c r="D3" s="43"/>
      <c r="E3" s="43"/>
      <c r="F3" s="43"/>
      <c r="G3" s="43"/>
      <c r="H3" s="47"/>
      <c r="I3" s="44"/>
      <c r="J3" s="44"/>
      <c r="K3" s="44"/>
      <c r="L3" s="45"/>
    </row>
    <row r="4" spans="1:12" x14ac:dyDescent="0.25">
      <c r="A4" s="46" t="s">
        <v>66</v>
      </c>
      <c r="B4" s="43"/>
      <c r="C4" s="43"/>
      <c r="D4" s="43"/>
      <c r="E4" s="43"/>
      <c r="F4" s="43"/>
      <c r="G4" s="43"/>
      <c r="H4" s="43"/>
      <c r="I4" s="44"/>
      <c r="J4" s="44"/>
      <c r="K4" s="44"/>
      <c r="L4" s="45"/>
    </row>
    <row r="5" spans="1:12" x14ac:dyDescent="0.25">
      <c r="A5" s="42" t="s">
        <v>77</v>
      </c>
      <c r="B5" s="44"/>
      <c r="C5" s="44"/>
      <c r="D5" s="44"/>
      <c r="E5" s="44"/>
      <c r="F5" s="44"/>
      <c r="G5" s="44"/>
      <c r="H5" s="44"/>
      <c r="I5" s="44"/>
      <c r="J5" s="44"/>
      <c r="K5" s="44"/>
      <c r="L5" s="45"/>
    </row>
    <row r="6" spans="1:12" x14ac:dyDescent="0.25">
      <c r="A6" s="46" t="s">
        <v>81</v>
      </c>
      <c r="B6" s="44"/>
      <c r="C6" s="44"/>
      <c r="D6" s="44"/>
      <c r="E6" s="44"/>
      <c r="F6" s="44"/>
      <c r="G6" s="44"/>
      <c r="H6" s="44"/>
      <c r="I6" s="44"/>
      <c r="J6" s="44"/>
      <c r="K6" s="44"/>
      <c r="L6" s="45"/>
    </row>
    <row r="7" spans="1:12" x14ac:dyDescent="0.25">
      <c r="A7" s="42"/>
      <c r="B7" s="44"/>
      <c r="C7" s="44"/>
      <c r="D7" s="44"/>
      <c r="E7" s="44"/>
      <c r="F7" s="44"/>
      <c r="G7" s="44"/>
      <c r="H7" s="44"/>
      <c r="I7" s="44"/>
      <c r="J7" s="44"/>
      <c r="K7" s="44"/>
      <c r="L7" s="45"/>
    </row>
    <row r="8" spans="1:12" x14ac:dyDescent="0.25">
      <c r="A8" s="42"/>
      <c r="B8" s="44"/>
      <c r="C8" s="44"/>
      <c r="D8" s="44"/>
      <c r="E8" s="44"/>
      <c r="F8" s="44"/>
      <c r="G8" s="44"/>
      <c r="H8" s="44"/>
      <c r="I8" s="44"/>
      <c r="J8" s="44"/>
      <c r="K8" s="44"/>
      <c r="L8" s="45"/>
    </row>
    <row r="9" spans="1:12" x14ac:dyDescent="0.25">
      <c r="A9" s="42"/>
      <c r="B9" s="44"/>
      <c r="C9" s="44"/>
      <c r="D9" s="44"/>
      <c r="E9" s="44"/>
      <c r="F9" s="44"/>
      <c r="G9" s="44"/>
      <c r="H9" s="44"/>
      <c r="I9" s="44"/>
      <c r="J9" s="44"/>
      <c r="K9" s="44"/>
      <c r="L9" s="45"/>
    </row>
    <row r="10" spans="1:12" x14ac:dyDescent="0.25">
      <c r="A10" s="42"/>
      <c r="B10" s="44"/>
      <c r="C10" s="44"/>
      <c r="D10" s="44"/>
      <c r="E10" s="44"/>
      <c r="F10" s="44"/>
      <c r="G10" s="44"/>
      <c r="H10" s="44"/>
      <c r="I10" s="44"/>
      <c r="J10" s="44"/>
      <c r="K10" s="44"/>
      <c r="L10" s="45"/>
    </row>
    <row r="11" spans="1:12" x14ac:dyDescent="0.25">
      <c r="A11" s="42"/>
      <c r="B11" s="44"/>
      <c r="C11" s="44"/>
      <c r="D11" s="44"/>
      <c r="E11" s="44"/>
      <c r="F11" s="44"/>
      <c r="G11" s="44"/>
      <c r="H11" s="44"/>
      <c r="I11" s="44"/>
      <c r="J11" s="44"/>
      <c r="K11" s="44"/>
      <c r="L11" s="45"/>
    </row>
    <row r="12" spans="1:12" x14ac:dyDescent="0.25">
      <c r="A12" s="42"/>
      <c r="B12" s="44"/>
      <c r="C12" s="44"/>
      <c r="D12" s="44"/>
      <c r="E12" s="44"/>
      <c r="F12" s="44"/>
      <c r="G12" s="44"/>
      <c r="H12" s="44"/>
      <c r="I12" s="44"/>
      <c r="J12" s="44"/>
      <c r="K12" s="44"/>
      <c r="L12" s="45"/>
    </row>
    <row r="13" spans="1:12" x14ac:dyDescent="0.25">
      <c r="A13" s="42"/>
      <c r="B13" s="44"/>
      <c r="C13" s="44"/>
      <c r="D13" s="44"/>
      <c r="E13" s="44"/>
      <c r="F13" s="44"/>
      <c r="G13" s="44"/>
      <c r="H13" s="44"/>
      <c r="I13" s="44"/>
      <c r="J13" s="44"/>
      <c r="K13" s="44"/>
      <c r="L13" s="45"/>
    </row>
    <row r="14" spans="1:12" x14ac:dyDescent="0.25">
      <c r="A14" s="42"/>
      <c r="B14" s="44"/>
      <c r="C14" s="44"/>
      <c r="D14" s="44"/>
      <c r="E14" s="44"/>
      <c r="F14" s="44"/>
      <c r="G14" s="44"/>
      <c r="H14" s="44"/>
      <c r="I14" s="44"/>
      <c r="J14" s="44"/>
      <c r="K14" s="44"/>
      <c r="L14" s="45"/>
    </row>
    <row r="15" spans="1:12" x14ac:dyDescent="0.25">
      <c r="A15" s="42"/>
      <c r="B15" s="44"/>
      <c r="C15" s="44"/>
      <c r="D15" s="44"/>
      <c r="E15" s="44"/>
      <c r="F15" s="44"/>
      <c r="G15" s="44"/>
      <c r="H15" s="44"/>
      <c r="I15" s="44"/>
      <c r="J15" s="44"/>
      <c r="K15" s="44"/>
      <c r="L15" s="45"/>
    </row>
    <row r="16" spans="1:12" x14ac:dyDescent="0.25">
      <c r="A16" s="42"/>
      <c r="B16" s="44"/>
      <c r="C16" s="44"/>
      <c r="D16" s="44"/>
      <c r="E16" s="44"/>
      <c r="F16" s="44"/>
      <c r="G16" s="44"/>
      <c r="H16" s="44"/>
      <c r="I16" s="44"/>
      <c r="J16" s="44"/>
      <c r="K16" s="44"/>
      <c r="L16" s="45"/>
    </row>
    <row r="17" spans="1:12" x14ac:dyDescent="0.25">
      <c r="A17" s="42"/>
      <c r="B17" s="44"/>
      <c r="C17" s="44"/>
      <c r="D17" s="44"/>
      <c r="E17" s="44"/>
      <c r="F17" s="44"/>
      <c r="G17" s="44"/>
      <c r="H17" s="44"/>
      <c r="I17" s="44"/>
      <c r="J17" s="44"/>
      <c r="K17" s="44"/>
      <c r="L17" s="45"/>
    </row>
    <row r="18" spans="1:12" x14ac:dyDescent="0.25">
      <c r="A18" s="42"/>
      <c r="B18" s="44"/>
      <c r="C18" s="44"/>
      <c r="D18" s="44"/>
      <c r="E18" s="44"/>
      <c r="F18" s="44"/>
      <c r="G18" s="44"/>
      <c r="H18" s="44"/>
      <c r="I18" s="44"/>
      <c r="J18" s="44"/>
      <c r="K18" s="44"/>
      <c r="L18" s="45"/>
    </row>
    <row r="19" spans="1:12" x14ac:dyDescent="0.25">
      <c r="A19" s="42"/>
      <c r="B19" s="44"/>
      <c r="C19" s="44"/>
      <c r="D19" s="44"/>
      <c r="E19" s="44"/>
      <c r="F19" s="44"/>
      <c r="G19" s="44"/>
      <c r="H19" s="44"/>
      <c r="I19" s="44"/>
      <c r="J19" s="44"/>
      <c r="K19" s="44"/>
      <c r="L19" s="45"/>
    </row>
    <row r="20" spans="1:12" x14ac:dyDescent="0.25">
      <c r="A20" s="42"/>
      <c r="B20" s="44"/>
      <c r="C20" s="44"/>
      <c r="D20" s="44"/>
      <c r="E20" s="44"/>
      <c r="F20" s="44"/>
      <c r="G20" s="44"/>
      <c r="H20" s="44"/>
      <c r="I20" s="44"/>
      <c r="J20" s="44"/>
      <c r="K20" s="44"/>
      <c r="L20" s="45"/>
    </row>
    <row r="21" spans="1:12" x14ac:dyDescent="0.25">
      <c r="A21" s="42"/>
      <c r="B21" s="44"/>
      <c r="C21" s="44"/>
      <c r="D21" s="44"/>
      <c r="E21" s="44"/>
      <c r="F21" s="44"/>
      <c r="G21" s="44"/>
      <c r="H21" s="44"/>
      <c r="I21" s="44"/>
      <c r="J21" s="44"/>
      <c r="K21" s="44"/>
      <c r="L21" s="45"/>
    </row>
    <row r="22" spans="1:12" x14ac:dyDescent="0.25">
      <c r="A22" s="42"/>
      <c r="B22" s="44"/>
      <c r="C22" s="44"/>
      <c r="D22" s="44"/>
      <c r="E22" s="44"/>
      <c r="F22" s="44"/>
      <c r="G22" s="44"/>
      <c r="H22" s="44"/>
      <c r="I22" s="44"/>
      <c r="J22" s="44"/>
      <c r="K22" s="44"/>
      <c r="L22" s="45"/>
    </row>
    <row r="23" spans="1:12" x14ac:dyDescent="0.25">
      <c r="A23" s="42"/>
      <c r="B23" s="44"/>
      <c r="C23" s="44"/>
      <c r="D23" s="44"/>
      <c r="E23" s="44"/>
      <c r="F23" s="44"/>
      <c r="G23" s="44"/>
      <c r="H23" s="44"/>
      <c r="I23" s="44"/>
      <c r="J23" s="44"/>
      <c r="K23" s="44"/>
      <c r="L23" s="45"/>
    </row>
    <row r="24" spans="1:12" x14ac:dyDescent="0.25">
      <c r="A24" s="42"/>
      <c r="B24" s="44"/>
      <c r="C24" s="44"/>
      <c r="D24" s="44"/>
      <c r="E24" s="44"/>
      <c r="F24" s="44"/>
      <c r="G24" s="44"/>
      <c r="H24" s="44"/>
      <c r="I24" s="44"/>
      <c r="J24" s="44"/>
      <c r="K24" s="44"/>
      <c r="L24" s="45"/>
    </row>
    <row r="25" spans="1:12" x14ac:dyDescent="0.25">
      <c r="A25" s="42"/>
      <c r="B25" s="44"/>
      <c r="C25" s="44"/>
      <c r="D25" s="44"/>
      <c r="E25" s="44"/>
      <c r="F25" s="44"/>
      <c r="G25" s="44"/>
      <c r="H25" s="44"/>
      <c r="I25" s="44"/>
      <c r="J25" s="44"/>
      <c r="K25" s="44"/>
      <c r="L25" s="45"/>
    </row>
    <row r="26" spans="1:12" x14ac:dyDescent="0.25">
      <c r="A26" s="42"/>
      <c r="B26" s="44"/>
      <c r="C26" s="44"/>
      <c r="D26" s="44"/>
      <c r="E26" s="44"/>
      <c r="F26" s="44"/>
      <c r="G26" s="44"/>
      <c r="H26" s="44"/>
      <c r="I26" s="44"/>
      <c r="J26" s="44"/>
      <c r="K26" s="44"/>
      <c r="L26" s="45"/>
    </row>
    <row r="27" spans="1:12" x14ac:dyDescent="0.25">
      <c r="A27" s="42"/>
      <c r="B27" s="44"/>
      <c r="C27" s="44"/>
      <c r="D27" s="44"/>
      <c r="E27" s="44"/>
      <c r="F27" s="44"/>
      <c r="G27" s="44"/>
      <c r="H27" s="44"/>
      <c r="I27" s="44"/>
      <c r="J27" s="44"/>
      <c r="K27" s="44"/>
      <c r="L27" s="45"/>
    </row>
    <row r="28" spans="1:12" x14ac:dyDescent="0.25">
      <c r="A28" s="42"/>
      <c r="B28" s="44"/>
      <c r="C28" s="44"/>
      <c r="D28" s="44"/>
      <c r="E28" s="44"/>
      <c r="F28" s="44"/>
      <c r="G28" s="44"/>
      <c r="H28" s="44"/>
      <c r="I28" s="44"/>
      <c r="J28" s="44"/>
      <c r="K28" s="44"/>
      <c r="L28" s="45"/>
    </row>
    <row r="29" spans="1:12" x14ac:dyDescent="0.25">
      <c r="A29" s="42"/>
      <c r="B29" s="44"/>
      <c r="C29" s="44"/>
      <c r="D29" s="44"/>
      <c r="E29" s="44"/>
      <c r="F29" s="44"/>
      <c r="G29" s="44"/>
      <c r="H29" s="44"/>
      <c r="I29" s="44"/>
      <c r="J29" s="44"/>
      <c r="K29" s="44"/>
      <c r="L29" s="45"/>
    </row>
    <row r="30" spans="1:12" x14ac:dyDescent="0.25">
      <c r="A30" s="42"/>
      <c r="B30" s="44"/>
      <c r="C30" s="44"/>
      <c r="D30" s="44"/>
      <c r="E30" s="44"/>
      <c r="F30" s="44"/>
      <c r="G30" s="44"/>
      <c r="H30" s="44"/>
      <c r="I30" s="44"/>
      <c r="J30" s="44"/>
      <c r="K30" s="44"/>
      <c r="L30" s="45"/>
    </row>
    <row r="31" spans="1:12" x14ac:dyDescent="0.25">
      <c r="A31" s="42"/>
      <c r="B31" s="44"/>
      <c r="C31" s="44"/>
      <c r="D31" s="44"/>
      <c r="E31" s="44"/>
      <c r="F31" s="44"/>
      <c r="G31" s="44"/>
      <c r="H31" s="44"/>
      <c r="I31" s="44"/>
      <c r="J31" s="44"/>
      <c r="K31" s="44"/>
      <c r="L31" s="45"/>
    </row>
    <row r="32" spans="1:12" x14ac:dyDescent="0.25">
      <c r="A32" s="42"/>
      <c r="B32" s="44"/>
      <c r="C32" s="44"/>
      <c r="D32" s="44"/>
      <c r="E32" s="44"/>
      <c r="F32" s="44"/>
      <c r="G32" s="44"/>
      <c r="H32" s="44"/>
      <c r="I32" s="44"/>
      <c r="J32" s="44"/>
      <c r="K32" s="44"/>
      <c r="L32" s="45"/>
    </row>
    <row r="33" spans="1:12" x14ac:dyDescent="0.25">
      <c r="A33" s="42"/>
      <c r="B33" s="44"/>
      <c r="C33" s="44"/>
      <c r="D33" s="44"/>
      <c r="E33" s="44"/>
      <c r="F33" s="44"/>
      <c r="G33" s="44"/>
      <c r="H33" s="44"/>
      <c r="I33" s="44"/>
      <c r="J33" s="44"/>
      <c r="K33" s="44"/>
      <c r="L33" s="45"/>
    </row>
    <row r="34" spans="1:12" x14ac:dyDescent="0.25">
      <c r="A34" s="42"/>
      <c r="B34" s="44"/>
      <c r="C34" s="44"/>
      <c r="D34" s="44"/>
      <c r="E34" s="44"/>
      <c r="F34" s="44"/>
      <c r="G34" s="44"/>
      <c r="H34" s="44"/>
      <c r="I34" s="44"/>
      <c r="J34" s="44"/>
      <c r="K34" s="44"/>
      <c r="L34" s="45"/>
    </row>
    <row r="35" spans="1:12" x14ac:dyDescent="0.25">
      <c r="A35" s="42"/>
      <c r="B35" s="44"/>
      <c r="C35" s="44"/>
      <c r="D35" s="44"/>
      <c r="E35" s="44"/>
      <c r="F35" s="44"/>
      <c r="G35" s="44"/>
      <c r="H35" s="44"/>
      <c r="I35" s="44"/>
      <c r="J35" s="44"/>
      <c r="K35" s="44"/>
      <c r="L35" s="45"/>
    </row>
    <row r="36" spans="1:12" x14ac:dyDescent="0.25">
      <c r="A36" s="42"/>
      <c r="B36" s="44"/>
      <c r="C36" s="44"/>
      <c r="D36" s="44"/>
      <c r="E36" s="44"/>
      <c r="F36" s="44"/>
      <c r="G36" s="44"/>
      <c r="H36" s="44"/>
      <c r="I36" s="44"/>
      <c r="J36" s="44"/>
      <c r="K36" s="44"/>
      <c r="L36" s="45"/>
    </row>
    <row r="37" spans="1:12" x14ac:dyDescent="0.25">
      <c r="A37" s="42"/>
      <c r="B37" s="44"/>
      <c r="C37" s="44"/>
      <c r="D37" s="44"/>
      <c r="E37" s="44"/>
      <c r="F37" s="44"/>
      <c r="G37" s="44"/>
      <c r="H37" s="44"/>
      <c r="I37" s="44"/>
      <c r="J37" s="44"/>
      <c r="K37" s="44"/>
      <c r="L37" s="45"/>
    </row>
    <row r="38" spans="1:12" x14ac:dyDescent="0.25">
      <c r="A38" s="42"/>
      <c r="B38" s="44"/>
      <c r="C38" s="44"/>
      <c r="D38" s="44"/>
      <c r="E38" s="44"/>
      <c r="F38" s="44"/>
      <c r="G38" s="44"/>
      <c r="H38" s="44"/>
      <c r="I38" s="44"/>
      <c r="J38" s="44"/>
      <c r="K38" s="44"/>
      <c r="L38" s="45"/>
    </row>
    <row r="39" spans="1:12" x14ac:dyDescent="0.25">
      <c r="A39" s="42"/>
      <c r="B39" s="44"/>
      <c r="C39" s="44"/>
      <c r="D39" s="44"/>
      <c r="E39" s="44"/>
      <c r="F39" s="44"/>
      <c r="G39" s="44"/>
      <c r="H39" s="44"/>
      <c r="I39" s="44"/>
      <c r="J39" s="44"/>
      <c r="K39" s="44"/>
      <c r="L39" s="45"/>
    </row>
    <row r="40" spans="1:12" x14ac:dyDescent="0.25">
      <c r="A40" s="42"/>
      <c r="B40" s="44"/>
      <c r="C40" s="44"/>
      <c r="D40" s="44"/>
      <c r="E40" s="44"/>
      <c r="F40" s="44"/>
      <c r="G40" s="44"/>
      <c r="H40" s="44"/>
      <c r="I40" s="44"/>
      <c r="J40" s="44"/>
      <c r="K40" s="44"/>
      <c r="L40" s="45"/>
    </row>
    <row r="41" spans="1:12" x14ac:dyDescent="0.25">
      <c r="A41" s="42"/>
      <c r="B41" s="44"/>
      <c r="C41" s="44"/>
      <c r="D41" s="44"/>
      <c r="E41" s="44"/>
      <c r="F41" s="44"/>
      <c r="G41" s="44"/>
      <c r="H41" s="44"/>
      <c r="I41" s="44"/>
      <c r="J41" s="44"/>
      <c r="K41" s="44"/>
      <c r="L41" s="45"/>
    </row>
    <row r="42" spans="1:12" x14ac:dyDescent="0.25">
      <c r="A42" s="42"/>
      <c r="B42" s="44"/>
      <c r="C42" s="44"/>
      <c r="D42" s="44"/>
      <c r="E42" s="44"/>
      <c r="F42" s="44"/>
      <c r="G42" s="44"/>
      <c r="H42" s="44"/>
      <c r="I42" s="44"/>
      <c r="J42" s="44"/>
      <c r="K42" s="44"/>
      <c r="L42" s="45"/>
    </row>
    <row r="43" spans="1:12" x14ac:dyDescent="0.25">
      <c r="A43" s="42"/>
      <c r="B43" s="44"/>
      <c r="C43" s="44"/>
      <c r="D43" s="44"/>
      <c r="E43" s="44"/>
      <c r="F43" s="44"/>
      <c r="G43" s="44"/>
      <c r="H43" s="44"/>
      <c r="I43" s="44"/>
      <c r="J43" s="44"/>
      <c r="K43" s="44"/>
      <c r="L43" s="45"/>
    </row>
    <row r="44" spans="1:12" x14ac:dyDescent="0.25">
      <c r="A44" s="42"/>
      <c r="B44" s="44"/>
      <c r="C44" s="44"/>
      <c r="D44" s="44"/>
      <c r="E44" s="44"/>
      <c r="F44" s="44"/>
      <c r="G44" s="44"/>
      <c r="H44" s="44"/>
      <c r="I44" s="44"/>
      <c r="J44" s="44"/>
      <c r="K44" s="44"/>
      <c r="L44" s="45"/>
    </row>
    <row r="45" spans="1:12" x14ac:dyDescent="0.25">
      <c r="A45" s="42"/>
      <c r="B45" s="44"/>
      <c r="C45" s="44"/>
      <c r="D45" s="44"/>
      <c r="E45" s="44"/>
      <c r="F45" s="44"/>
      <c r="G45" s="44"/>
      <c r="H45" s="44"/>
      <c r="I45" s="44"/>
      <c r="J45" s="44"/>
      <c r="K45" s="44"/>
      <c r="L45" s="45"/>
    </row>
    <row r="46" spans="1:12" x14ac:dyDescent="0.25">
      <c r="A46" s="42"/>
      <c r="B46" s="44"/>
      <c r="C46" s="44"/>
      <c r="D46" s="44"/>
      <c r="E46" s="44"/>
      <c r="F46" s="44"/>
      <c r="G46" s="44"/>
      <c r="H46" s="44"/>
      <c r="I46" s="44"/>
      <c r="J46" s="44"/>
      <c r="K46" s="44"/>
      <c r="L46" s="45"/>
    </row>
    <row r="47" spans="1:12" x14ac:dyDescent="0.25">
      <c r="A47" s="42"/>
      <c r="B47" s="44"/>
      <c r="C47" s="44"/>
      <c r="D47" s="44"/>
      <c r="E47" s="44"/>
      <c r="F47" s="44"/>
      <c r="G47" s="44"/>
      <c r="H47" s="44"/>
      <c r="I47" s="44"/>
      <c r="J47" s="44"/>
      <c r="K47" s="44"/>
      <c r="L47" s="45"/>
    </row>
    <row r="48" spans="1:12" x14ac:dyDescent="0.25">
      <c r="A48" s="48"/>
      <c r="B48" s="49"/>
      <c r="C48" s="49"/>
      <c r="D48" s="49"/>
      <c r="E48" s="50"/>
      <c r="F48" s="51"/>
      <c r="G48" s="52"/>
      <c r="H48" s="52"/>
      <c r="I48" s="52"/>
      <c r="J48" s="49" t="s">
        <v>55</v>
      </c>
      <c r="K48" s="50" t="str">
        <f ca="1">MID(CELL("filename",A1),FIND("[",CELL("filename",A1))+1,SUM(FIND({"[";"]"},CELL("filename",A1))*{-1;1})-1)</f>
        <v>calcul-de-hertz-V3.xlsx</v>
      </c>
      <c r="L48" s="53"/>
    </row>
    <row r="49" spans="1:12" x14ac:dyDescent="0.25">
      <c r="A49" s="48"/>
      <c r="B49" s="49"/>
      <c r="C49" s="49"/>
      <c r="D49" s="49"/>
      <c r="E49" s="54"/>
      <c r="F49" s="51"/>
      <c r="G49" s="52"/>
      <c r="H49" s="52"/>
      <c r="I49" s="52"/>
      <c r="J49" s="49" t="s">
        <v>56</v>
      </c>
      <c r="K49" s="54">
        <f>GENERAL!L45</f>
        <v>42515</v>
      </c>
      <c r="L49" s="53"/>
    </row>
    <row r="50" spans="1:12" ht="13.8" thickBot="1" x14ac:dyDescent="0.3">
      <c r="A50" s="55" t="s">
        <v>42</v>
      </c>
      <c r="B50" s="56"/>
      <c r="C50" s="57"/>
      <c r="D50" s="58"/>
      <c r="E50" s="58"/>
      <c r="F50" s="58"/>
      <c r="G50" s="58"/>
      <c r="H50" s="58"/>
      <c r="I50" s="58"/>
      <c r="J50" s="58"/>
      <c r="K50" s="58"/>
      <c r="L50" s="59"/>
    </row>
  </sheetData>
  <sheetProtection sheet="1" objects="1"/>
  <pageMargins left="0.78740157499999996" right="0.78740157499999996" top="0.984251969" bottom="0.984251969" header="0.4921259845" footer="0.4921259845"/>
  <pageSetup paperSize="9" scale="63"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E56"/>
  <sheetViews>
    <sheetView showGridLines="0" zoomScaleNormal="100" zoomScaleSheetLayoutView="100" workbookViewId="0">
      <selection activeCell="F1" sqref="F1"/>
    </sheetView>
  </sheetViews>
  <sheetFormatPr baseColWidth="10" defaultColWidth="11.44140625" defaultRowHeight="13.2" x14ac:dyDescent="0.25"/>
  <cols>
    <col min="1" max="1" width="11.44140625" style="63"/>
    <col min="2" max="2" width="10.6640625" style="63" customWidth="1"/>
    <col min="3" max="3" width="48.5546875" style="63" customWidth="1"/>
    <col min="4" max="16384" width="11.44140625" style="63"/>
  </cols>
  <sheetData>
    <row r="1" spans="1:5" ht="30" x14ac:dyDescent="0.7">
      <c r="A1" s="60" t="s">
        <v>58</v>
      </c>
      <c r="B1" s="61"/>
      <c r="C1" s="61"/>
      <c r="D1" s="61"/>
      <c r="E1" s="62"/>
    </row>
    <row r="2" spans="1:5" ht="25.2" x14ac:dyDescent="0.6">
      <c r="A2" s="64"/>
      <c r="B2" s="65"/>
      <c r="C2" s="65"/>
      <c r="D2" s="65"/>
      <c r="E2" s="66"/>
    </row>
    <row r="3" spans="1:5" x14ac:dyDescent="0.25">
      <c r="A3" s="67"/>
      <c r="B3" s="68"/>
      <c r="C3" s="68"/>
      <c r="D3" s="68"/>
      <c r="E3" s="69"/>
    </row>
    <row r="4" spans="1:5" ht="14.25" customHeight="1" x14ac:dyDescent="0.25">
      <c r="A4" s="168"/>
      <c r="B4" s="169"/>
      <c r="C4" s="169"/>
      <c r="D4" s="169"/>
      <c r="E4" s="170"/>
    </row>
    <row r="5" spans="1:5" x14ac:dyDescent="0.25">
      <c r="A5" s="70"/>
      <c r="B5" s="68"/>
      <c r="C5" s="68"/>
      <c r="D5" s="68"/>
      <c r="E5" s="69"/>
    </row>
    <row r="6" spans="1:5" x14ac:dyDescent="0.25">
      <c r="A6" s="71"/>
      <c r="B6" s="68"/>
      <c r="C6" s="68"/>
      <c r="D6" s="68"/>
      <c r="E6" s="69"/>
    </row>
    <row r="7" spans="1:5" x14ac:dyDescent="0.25">
      <c r="A7" s="72"/>
      <c r="B7" s="68"/>
      <c r="C7" s="73"/>
      <c r="D7" s="73"/>
      <c r="E7" s="74"/>
    </row>
    <row r="8" spans="1:5" ht="13.8" x14ac:dyDescent="0.25">
      <c r="A8" s="75">
        <v>39234</v>
      </c>
      <c r="B8" s="76" t="s">
        <v>59</v>
      </c>
      <c r="C8" s="73"/>
      <c r="D8" s="73"/>
      <c r="E8" s="74"/>
    </row>
    <row r="9" spans="1:5" ht="13.8" x14ac:dyDescent="0.25">
      <c r="A9" s="75">
        <v>40073</v>
      </c>
      <c r="B9" s="76" t="s">
        <v>60</v>
      </c>
      <c r="C9" s="77"/>
      <c r="D9" s="78"/>
      <c r="E9" s="79"/>
    </row>
    <row r="10" spans="1:5" x14ac:dyDescent="0.25">
      <c r="A10" s="67"/>
      <c r="B10" s="78"/>
      <c r="C10" s="77"/>
      <c r="D10" s="78"/>
      <c r="E10" s="79"/>
    </row>
    <row r="11" spans="1:5" x14ac:dyDescent="0.25">
      <c r="A11" s="67"/>
      <c r="B11" s="80"/>
      <c r="C11" s="77"/>
      <c r="D11" s="78"/>
      <c r="E11" s="79"/>
    </row>
    <row r="12" spans="1:5" ht="13.8" x14ac:dyDescent="0.25">
      <c r="A12" s="75">
        <v>41796</v>
      </c>
      <c r="B12" s="76" t="s">
        <v>61</v>
      </c>
      <c r="C12" s="78" t="s">
        <v>63</v>
      </c>
      <c r="D12" s="78"/>
      <c r="E12" s="79"/>
    </row>
    <row r="13" spans="1:5" x14ac:dyDescent="0.25">
      <c r="A13" s="81"/>
      <c r="B13" s="78"/>
      <c r="C13" s="78" t="s">
        <v>62</v>
      </c>
      <c r="D13" s="78"/>
      <c r="E13" s="79"/>
    </row>
    <row r="14" spans="1:5" ht="12.75" customHeight="1" x14ac:dyDescent="0.4">
      <c r="A14" s="81"/>
      <c r="B14" s="82"/>
      <c r="C14" s="90" t="s">
        <v>76</v>
      </c>
      <c r="D14" s="78"/>
      <c r="E14" s="79"/>
    </row>
    <row r="15" spans="1:5" x14ac:dyDescent="0.25">
      <c r="A15" s="81"/>
      <c r="B15" s="78"/>
      <c r="C15" s="78" t="s">
        <v>64</v>
      </c>
      <c r="D15" s="78"/>
      <c r="E15" s="79"/>
    </row>
    <row r="16" spans="1:5" x14ac:dyDescent="0.25">
      <c r="A16" s="81"/>
      <c r="B16" s="78"/>
      <c r="C16" s="78" t="s">
        <v>68</v>
      </c>
      <c r="D16" s="78"/>
      <c r="E16" s="79"/>
    </row>
    <row r="17" spans="1:5" x14ac:dyDescent="0.25">
      <c r="A17" s="81"/>
      <c r="B17" s="78"/>
      <c r="C17" s="78" t="s">
        <v>67</v>
      </c>
      <c r="D17" s="78"/>
      <c r="E17" s="79"/>
    </row>
    <row r="18" spans="1:5" x14ac:dyDescent="0.25">
      <c r="A18" s="81"/>
      <c r="B18" s="78"/>
      <c r="C18" s="78"/>
      <c r="D18" s="78"/>
      <c r="E18" s="79"/>
    </row>
    <row r="19" spans="1:5" ht="13.8" x14ac:dyDescent="0.25">
      <c r="A19" s="75">
        <v>42515</v>
      </c>
      <c r="B19" s="76" t="s">
        <v>96</v>
      </c>
      <c r="C19" s="78" t="s">
        <v>97</v>
      </c>
      <c r="D19" s="78"/>
      <c r="E19" s="79"/>
    </row>
    <row r="20" spans="1:5" x14ac:dyDescent="0.25">
      <c r="A20" s="81"/>
      <c r="B20" s="78"/>
      <c r="C20" s="78" t="s">
        <v>98</v>
      </c>
      <c r="D20" s="78"/>
      <c r="E20" s="79"/>
    </row>
    <row r="21" spans="1:5" x14ac:dyDescent="0.25">
      <c r="A21" s="81"/>
      <c r="C21" s="63" t="s">
        <v>103</v>
      </c>
      <c r="E21" s="79"/>
    </row>
    <row r="22" spans="1:5" x14ac:dyDescent="0.25">
      <c r="A22" s="81"/>
      <c r="E22" s="79"/>
    </row>
    <row r="23" spans="1:5" x14ac:dyDescent="0.25">
      <c r="A23" s="81"/>
      <c r="E23" s="83"/>
    </row>
    <row r="24" spans="1:5" x14ac:dyDescent="0.25">
      <c r="A24" s="81"/>
      <c r="E24" s="83"/>
    </row>
    <row r="25" spans="1:5" x14ac:dyDescent="0.25">
      <c r="A25" s="81"/>
      <c r="E25" s="79"/>
    </row>
    <row r="26" spans="1:5" x14ac:dyDescent="0.25">
      <c r="A26" s="81"/>
      <c r="E26" s="79"/>
    </row>
    <row r="27" spans="1:5" x14ac:dyDescent="0.25">
      <c r="A27" s="81"/>
      <c r="E27" s="79"/>
    </row>
    <row r="28" spans="1:5" x14ac:dyDescent="0.25">
      <c r="A28" s="81"/>
      <c r="E28" s="79"/>
    </row>
    <row r="29" spans="1:5" x14ac:dyDescent="0.25">
      <c r="A29" s="81"/>
      <c r="E29" s="79"/>
    </row>
    <row r="30" spans="1:5" x14ac:dyDescent="0.25">
      <c r="A30" s="81"/>
      <c r="E30" s="79"/>
    </row>
    <row r="31" spans="1:5" x14ac:dyDescent="0.25">
      <c r="A31" s="81"/>
      <c r="E31" s="79"/>
    </row>
    <row r="32" spans="1:5" x14ac:dyDescent="0.25">
      <c r="A32" s="81"/>
      <c r="E32" s="79"/>
    </row>
    <row r="33" spans="1:5" x14ac:dyDescent="0.25">
      <c r="A33" s="81"/>
      <c r="E33" s="79"/>
    </row>
    <row r="34" spans="1:5" x14ac:dyDescent="0.25">
      <c r="A34" s="81"/>
      <c r="E34" s="79"/>
    </row>
    <row r="35" spans="1:5" x14ac:dyDescent="0.25">
      <c r="A35" s="81"/>
      <c r="E35" s="79"/>
    </row>
    <row r="36" spans="1:5" x14ac:dyDescent="0.25">
      <c r="A36" s="81"/>
      <c r="E36" s="79"/>
    </row>
    <row r="37" spans="1:5" x14ac:dyDescent="0.25">
      <c r="A37" s="81"/>
      <c r="E37" s="79"/>
    </row>
    <row r="38" spans="1:5" x14ac:dyDescent="0.25">
      <c r="A38" s="81"/>
      <c r="E38" s="79"/>
    </row>
    <row r="39" spans="1:5" x14ac:dyDescent="0.25">
      <c r="A39" s="81"/>
      <c r="E39" s="79"/>
    </row>
    <row r="40" spans="1:5" x14ac:dyDescent="0.25">
      <c r="A40" s="81"/>
      <c r="E40" s="79"/>
    </row>
    <row r="41" spans="1:5" x14ac:dyDescent="0.25">
      <c r="A41" s="81"/>
      <c r="E41" s="79"/>
    </row>
    <row r="42" spans="1:5" x14ac:dyDescent="0.25">
      <c r="A42" s="81"/>
      <c r="B42" s="78"/>
      <c r="C42" s="78"/>
      <c r="D42" s="78"/>
      <c r="E42" s="79"/>
    </row>
    <row r="43" spans="1:5" x14ac:dyDescent="0.25">
      <c r="A43" s="81"/>
      <c r="B43" s="78"/>
      <c r="C43" s="78"/>
      <c r="D43" s="78"/>
      <c r="E43" s="79"/>
    </row>
    <row r="44" spans="1:5" x14ac:dyDescent="0.25">
      <c r="A44" s="67"/>
      <c r="B44" s="78"/>
      <c r="C44" s="78"/>
      <c r="D44" s="78"/>
      <c r="E44" s="79"/>
    </row>
    <row r="45" spans="1:5" x14ac:dyDescent="0.25">
      <c r="A45" s="67"/>
      <c r="B45" s="78"/>
      <c r="C45" s="78"/>
      <c r="D45" s="78"/>
      <c r="E45" s="79"/>
    </row>
    <row r="46" spans="1:5" x14ac:dyDescent="0.25">
      <c r="A46" s="67"/>
      <c r="B46" s="78"/>
      <c r="C46" s="78"/>
      <c r="D46" s="78"/>
      <c r="E46" s="79"/>
    </row>
    <row r="47" spans="1:5" x14ac:dyDescent="0.25">
      <c r="A47" s="67"/>
      <c r="B47" s="78"/>
      <c r="C47" s="78"/>
      <c r="D47" s="78"/>
      <c r="E47" s="79"/>
    </row>
    <row r="48" spans="1:5" x14ac:dyDescent="0.25">
      <c r="A48" s="67"/>
      <c r="B48" s="78"/>
      <c r="C48" s="78"/>
      <c r="D48" s="78"/>
      <c r="E48" s="79"/>
    </row>
    <row r="49" spans="1:5" x14ac:dyDescent="0.25">
      <c r="A49" s="67"/>
      <c r="B49" s="78"/>
      <c r="C49" s="78"/>
      <c r="D49" s="78"/>
      <c r="E49" s="79"/>
    </row>
    <row r="50" spans="1:5" x14ac:dyDescent="0.25">
      <c r="A50" s="67"/>
      <c r="B50" s="78"/>
      <c r="C50" s="78"/>
      <c r="D50" s="78"/>
      <c r="E50" s="79"/>
    </row>
    <row r="51" spans="1:5" x14ac:dyDescent="0.25">
      <c r="A51" s="67"/>
      <c r="B51" s="78"/>
      <c r="C51" s="78"/>
      <c r="D51" s="78"/>
      <c r="E51" s="79"/>
    </row>
    <row r="52" spans="1:5" x14ac:dyDescent="0.25">
      <c r="A52" s="67"/>
      <c r="B52" s="78"/>
      <c r="C52" s="78"/>
      <c r="D52" s="78"/>
      <c r="E52" s="79"/>
    </row>
    <row r="53" spans="1:5" x14ac:dyDescent="0.25">
      <c r="A53" s="67"/>
      <c r="B53" s="78"/>
      <c r="C53" s="78"/>
      <c r="D53" s="78"/>
      <c r="E53" s="79"/>
    </row>
    <row r="54" spans="1:5" x14ac:dyDescent="0.25">
      <c r="A54" s="84"/>
      <c r="B54" s="49"/>
      <c r="C54" s="49" t="s">
        <v>55</v>
      </c>
      <c r="D54" s="50" t="str">
        <f ca="1">MID(CELL("filename",A1),FIND("[",CELL("filename",A1))+1,SUM(FIND({"[";"]"},CELL("filename",A1))*{-1;1})-1)</f>
        <v>calcul-de-hertz-V3.xlsx</v>
      </c>
      <c r="E54" s="85"/>
    </row>
    <row r="55" spans="1:5" x14ac:dyDescent="0.25">
      <c r="A55" s="84"/>
      <c r="B55" s="49"/>
      <c r="C55" s="49" t="s">
        <v>56</v>
      </c>
      <c r="D55" s="54">
        <f>GENERAL!L45</f>
        <v>42515</v>
      </c>
      <c r="E55" s="85"/>
    </row>
    <row r="56" spans="1:5" ht="13.8" thickBot="1" x14ac:dyDescent="0.3">
      <c r="A56" s="86"/>
      <c r="B56" s="87"/>
      <c r="C56" s="87" t="s">
        <v>57</v>
      </c>
      <c r="D56" s="88"/>
      <c r="E56" s="89"/>
    </row>
  </sheetData>
  <sheetProtection sheet="1"/>
  <mergeCells count="1">
    <mergeCell ref="A4:E4"/>
  </mergeCells>
  <pageMargins left="0.78740157499999996" right="0.78740157499999996" top="0.984251969" bottom="0.984251969" header="0.4921259845" footer="0.4921259845"/>
  <pageSetup paperSize="9" scale="9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GENERAL</vt:lpstr>
      <vt:lpstr>Contact Ponctuel</vt:lpstr>
      <vt:lpstr>Contact Linéaire</vt:lpstr>
      <vt:lpstr>Contact Poinçon Plan</vt:lpstr>
      <vt:lpstr>Références bibliographiques</vt:lpstr>
      <vt:lpstr>Versions</vt:lpstr>
      <vt:lpstr>'Références bibliographiques'!Zone_d_impression</vt:lpstr>
    </vt:vector>
  </TitlesOfParts>
  <Company>C.N.R.S. Grenoble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jeantet</dc:creator>
  <cp:lastModifiedBy>SPECTRUM</cp:lastModifiedBy>
  <dcterms:created xsi:type="dcterms:W3CDTF">2007-06-01T09:37:48Z</dcterms:created>
  <dcterms:modified xsi:type="dcterms:W3CDTF">2020-08-15T08:57:39Z</dcterms:modified>
</cp:coreProperties>
</file>