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3CF55F2D-BC72-429C-9DC9-604A94114FBB}" xr6:coauthVersionLast="47" xr6:coauthVersionMax="47" xr10:uidLastSave="{00000000-0000-0000-0000-000000000000}"/>
  <bookViews>
    <workbookView xWindow="-120" yWindow="-120" windowWidth="29040" windowHeight="15840" xr2:uid="{09F6C672-2525-4E10-BBDB-771B12AB47E5}"/>
  </bookViews>
  <sheets>
    <sheet name="Rigidité des assemblages vissés" sheetId="1" r:id="rId1"/>
    <sheet name="Ressources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8" i="1" l="1"/>
  <c r="F25" i="1"/>
  <c r="D55" i="1"/>
  <c r="F45" i="1"/>
  <c r="D45" i="1"/>
  <c r="F44" i="1"/>
  <c r="D44" i="1"/>
  <c r="F43" i="1"/>
  <c r="D43" i="1"/>
  <c r="A23" i="1"/>
  <c r="F42" i="1"/>
  <c r="D42" i="1"/>
  <c r="F39" i="1"/>
  <c r="D39" i="1"/>
  <c r="F37" i="1"/>
  <c r="D37" i="1"/>
  <c r="F36" i="1"/>
  <c r="D36" i="1"/>
  <c r="D31" i="1"/>
  <c r="F30" i="1"/>
  <c r="D25" i="1"/>
  <c r="D20" i="1"/>
  <c r="F11" i="1"/>
  <c r="D11" i="1"/>
  <c r="F10" i="1"/>
  <c r="D10" i="1"/>
  <c r="K16" i="1"/>
  <c r="F9" i="1"/>
  <c r="D9" i="1"/>
  <c r="F4" i="1"/>
  <c r="D4" i="1"/>
  <c r="F16" i="1"/>
  <c r="D16" i="1"/>
  <c r="F7" i="1"/>
  <c r="D12" i="1"/>
  <c r="F12" i="1" s="1"/>
  <c r="F15" i="1"/>
  <c r="F14" i="1"/>
  <c r="T66" i="2"/>
  <c r="R66" i="2"/>
  <c r="D8" i="1"/>
  <c r="F8" i="1" s="1"/>
  <c r="R46" i="2"/>
</calcChain>
</file>

<file path=xl/sharedStrings.xml><?xml version="1.0" encoding="utf-8"?>
<sst xmlns="http://schemas.openxmlformats.org/spreadsheetml/2006/main" count="152" uniqueCount="100">
  <si>
    <t>Rigidité des assemblages vissés : Constantes de ressort des boulons et des éléments serrés  Constante de rigidité articulaire</t>
  </si>
  <si>
    <t>Données initiales</t>
  </si>
  <si>
    <t>diamètre de la vis</t>
  </si>
  <si>
    <t>diamètre de l'écrou</t>
  </si>
  <si>
    <t>diamètre de la rondelle</t>
  </si>
  <si>
    <t>épaisseur de la rondelle</t>
  </si>
  <si>
    <t>hauteur de l'écrou</t>
  </si>
  <si>
    <t>longueur non filetée</t>
  </si>
  <si>
    <t>longueur du filetage</t>
  </si>
  <si>
    <t>d</t>
  </si>
  <si>
    <t>l</t>
  </si>
  <si>
    <t>unités</t>
  </si>
  <si>
    <t>t</t>
  </si>
  <si>
    <t>H</t>
  </si>
  <si>
    <t>Lt</t>
  </si>
  <si>
    <t>ld</t>
  </si>
  <si>
    <t>lt</t>
  </si>
  <si>
    <t>longueur totale de la vis</t>
  </si>
  <si>
    <t>L</t>
  </si>
  <si>
    <t>mm</t>
  </si>
  <si>
    <t>pouces</t>
  </si>
  <si>
    <t>filetage sous tension (préhension)</t>
  </si>
  <si>
    <t>Epaisseur pièce A</t>
  </si>
  <si>
    <t>Epaisseur pièce B</t>
  </si>
  <si>
    <t>longueur serrage avec rondelle</t>
  </si>
  <si>
    <t>longueur serrage mini</t>
  </si>
  <si>
    <t>l + H</t>
  </si>
  <si>
    <t xml:space="preserve">FX 115ES plus Emulator  à télécharger </t>
  </si>
  <si>
    <t>prendre une longueur standard</t>
  </si>
  <si>
    <t>pour des longueur &lt; 6 pouces</t>
  </si>
  <si>
    <t>Calcul des sections</t>
  </si>
  <si>
    <t>section du noyau vis (d)</t>
  </si>
  <si>
    <t>pouces²</t>
  </si>
  <si>
    <t xml:space="preserve">Aire </t>
  </si>
  <si>
    <t>(5/16)</t>
  </si>
  <si>
    <t>pouce</t>
  </si>
  <si>
    <t>diamètre</t>
  </si>
  <si>
    <t>section avec filetage</t>
  </si>
  <si>
    <t>Aire t</t>
  </si>
  <si>
    <t>Aire d</t>
  </si>
  <si>
    <t>Raideur du boulon</t>
  </si>
  <si>
    <t>Calcul des raideurs (K)</t>
  </si>
  <si>
    <t>K</t>
  </si>
  <si>
    <t>Mlb/inch</t>
  </si>
  <si>
    <t>Young Acier</t>
  </si>
  <si>
    <t>E</t>
  </si>
  <si>
    <t>N/mm²</t>
  </si>
  <si>
    <t>Calcul des cones de pression</t>
  </si>
  <si>
    <t>A faire par les éléments finis</t>
  </si>
  <si>
    <t>SOLIDWORKS SIMULATION</t>
  </si>
  <si>
    <r>
      <t xml:space="preserve">angle  </t>
    </r>
    <r>
      <rPr>
        <sz val="11"/>
        <color theme="1"/>
        <rFont val="Calibri"/>
        <family val="2"/>
      </rPr>
      <t>α</t>
    </r>
  </si>
  <si>
    <t>α</t>
  </si>
  <si>
    <t>°</t>
  </si>
  <si>
    <t>radian</t>
  </si>
  <si>
    <r>
      <t xml:space="preserve">tan de l'angle </t>
    </r>
    <r>
      <rPr>
        <sz val="11"/>
        <color theme="1"/>
        <rFont val="Calibri"/>
        <family val="2"/>
      </rPr>
      <t>α</t>
    </r>
  </si>
  <si>
    <r>
      <t xml:space="preserve">Tan </t>
    </r>
    <r>
      <rPr>
        <sz val="11"/>
        <color theme="1"/>
        <rFont val="Calibri"/>
        <family val="2"/>
      </rPr>
      <t>α</t>
    </r>
  </si>
  <si>
    <t>Formulaire:</t>
  </si>
  <si>
    <t>raideur k</t>
  </si>
  <si>
    <t>raideur Kb</t>
  </si>
  <si>
    <t>dw</t>
  </si>
  <si>
    <t>surface en contact sous la tête  ( 1,5 x d )</t>
  </si>
  <si>
    <t xml:space="preserve">hauteur cone jaune </t>
  </si>
  <si>
    <t>l/2</t>
  </si>
  <si>
    <t>définition du cone en fonction de l</t>
  </si>
  <si>
    <t>Mpsi</t>
  </si>
  <si>
    <t>145 psi = 1 Mpa</t>
  </si>
  <si>
    <t>AN:</t>
  </si>
  <si>
    <t>hauteur cone vert</t>
  </si>
  <si>
    <t>pièce + rondelle</t>
  </si>
  <si>
    <t>young fonte</t>
  </si>
  <si>
    <t>young acier</t>
  </si>
  <si>
    <t xml:space="preserve"> 210 000 N/mm²  Ok</t>
  </si>
  <si>
    <t>Fontes 83 à 170 Gpa</t>
  </si>
  <si>
    <t>surface en contact sous l'écrou  ( 1,5 x d )</t>
  </si>
  <si>
    <t>par hypothèse</t>
  </si>
  <si>
    <t>largeur du cone vert</t>
  </si>
  <si>
    <t>D cone vert</t>
  </si>
  <si>
    <t>Ok</t>
  </si>
  <si>
    <t>hauteur cone bleu</t>
  </si>
  <si>
    <t>Hb</t>
  </si>
  <si>
    <t>Lvert</t>
  </si>
  <si>
    <t>segment vert</t>
  </si>
  <si>
    <t>Coefficient de raideur des trois zones</t>
  </si>
  <si>
    <t>zone jaune</t>
  </si>
  <si>
    <t>K1</t>
  </si>
  <si>
    <t>Mlbf/in</t>
  </si>
  <si>
    <t>K2</t>
  </si>
  <si>
    <t>zone bleue</t>
  </si>
  <si>
    <t>zone verte</t>
  </si>
  <si>
    <t>K3</t>
  </si>
  <si>
    <t>Raideur globale</t>
  </si>
  <si>
    <t>OK</t>
  </si>
  <si>
    <t>Constante du ressort dans le matériau</t>
  </si>
  <si>
    <t>(rigidité articulaire)</t>
  </si>
  <si>
    <t>Kglobal</t>
  </si>
  <si>
    <t>K global = K constante du boulon/ Kb + Kpièces</t>
  </si>
  <si>
    <t>lb/inch</t>
  </si>
  <si>
    <t xml:space="preserve">OK </t>
  </si>
  <si>
    <t xml:space="preserve">Conclusion </t>
  </si>
  <si>
    <t>le boulon ne supporte que 20% de l'effort de serrage, le reste est repris par les matières assemblées (de nature différente)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</si>
</sst>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i/>
      <sz val="11"/>
      <color theme="9"/>
      <name val="Calibri"/>
      <family val="2"/>
      <scheme val="minor"/>
    </font>
    <font>
      <b/>
      <i/>
      <u/>
      <sz val="11"/>
      <color theme="9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i/>
      <u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0" xfId="0" applyFont="1" applyAlignment="1">
      <alignment horizontal="center" wrapText="1"/>
    </xf>
    <xf numFmtId="0" fontId="2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Fill="1" applyAlignment="1">
      <alignment horizontal="center"/>
    </xf>
    <xf numFmtId="0" fontId="1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161925</xdr:rowOff>
    </xdr:from>
    <xdr:to>
      <xdr:col>0</xdr:col>
      <xdr:colOff>4743450</xdr:colOff>
      <xdr:row>17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0A0BDF-95AF-D7D8-BD5B-CEA48CFD3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3425"/>
          <a:ext cx="4610100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27</xdr:row>
      <xdr:rowOff>82221</xdr:rowOff>
    </xdr:from>
    <xdr:to>
      <xdr:col>0</xdr:col>
      <xdr:colOff>5343526</xdr:colOff>
      <xdr:row>37</xdr:row>
      <xdr:rowOff>47362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6A7897-941D-0845-FE93-8226894D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6" y="5416221"/>
          <a:ext cx="5295900" cy="1870141"/>
        </a:xfrm>
        <a:prstGeom prst="rect">
          <a:avLst/>
        </a:prstGeom>
      </xdr:spPr>
    </xdr:pic>
    <xdr:clientData/>
  </xdr:twoCellAnchor>
  <xdr:twoCellAnchor editAs="oneCell">
    <xdr:from>
      <xdr:col>0</xdr:col>
      <xdr:colOff>1362075</xdr:colOff>
      <xdr:row>38</xdr:row>
      <xdr:rowOff>33010</xdr:rowOff>
    </xdr:from>
    <xdr:to>
      <xdr:col>0</xdr:col>
      <xdr:colOff>3781425</xdr:colOff>
      <xdr:row>52</xdr:row>
      <xdr:rowOff>133349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ED1DDA5-B0C5-9DEC-8CB9-90D2D02DD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462510"/>
          <a:ext cx="2419350" cy="276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31</xdr:row>
      <xdr:rowOff>34643</xdr:rowOff>
    </xdr:from>
    <xdr:to>
      <xdr:col>14</xdr:col>
      <xdr:colOff>151593</xdr:colOff>
      <xdr:row>36</xdr:row>
      <xdr:rowOff>28374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12B858-29A9-949E-230E-8059627D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01850" y="6130643"/>
          <a:ext cx="3818718" cy="946231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39</xdr:row>
      <xdr:rowOff>106854</xdr:rowOff>
    </xdr:from>
    <xdr:to>
      <xdr:col>11</xdr:col>
      <xdr:colOff>142406</xdr:colOff>
      <xdr:row>42</xdr:row>
      <xdr:rowOff>171280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DC8F79-5B95-7FB1-DD0D-859EDE49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30350" y="7726854"/>
          <a:ext cx="1752131" cy="635926"/>
        </a:xfrm>
        <a:prstGeom prst="rect">
          <a:avLst/>
        </a:prstGeom>
      </xdr:spPr>
    </xdr:pic>
    <xdr:clientData/>
  </xdr:twoCellAnchor>
  <xdr:twoCellAnchor editAs="oneCell">
    <xdr:from>
      <xdr:col>0</xdr:col>
      <xdr:colOff>395492</xdr:colOff>
      <xdr:row>53</xdr:row>
      <xdr:rowOff>38099</xdr:rowOff>
    </xdr:from>
    <xdr:to>
      <xdr:col>0</xdr:col>
      <xdr:colOff>5133007</xdr:colOff>
      <xdr:row>66</xdr:row>
      <xdr:rowOff>9024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24999C-6B39-E2AF-7C84-A82C6CE8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5492" y="10325099"/>
          <a:ext cx="4737515" cy="2447425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19</xdr:row>
      <xdr:rowOff>152400</xdr:rowOff>
    </xdr:from>
    <xdr:to>
      <xdr:col>19</xdr:col>
      <xdr:colOff>57150</xdr:colOff>
      <xdr:row>29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3AE4FAB-2B34-0FC7-A382-71C80B0B8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3962400"/>
          <a:ext cx="67913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44</xdr:row>
      <xdr:rowOff>28575</xdr:rowOff>
    </xdr:from>
    <xdr:to>
      <xdr:col>19</xdr:col>
      <xdr:colOff>57150</xdr:colOff>
      <xdr:row>54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E460E98-2EEE-CD53-1C4E-48CEF0579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5175" y="8601075"/>
          <a:ext cx="683895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39157</xdr:colOff>
      <xdr:row>56</xdr:row>
      <xdr:rowOff>28575</xdr:rowOff>
    </xdr:from>
    <xdr:to>
      <xdr:col>14</xdr:col>
      <xdr:colOff>28574</xdr:colOff>
      <xdr:row>67</xdr:row>
      <xdr:rowOff>38100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1D621A-122F-7F34-3928-16C13D2CB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5282" y="10887075"/>
          <a:ext cx="3742267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68</xdr:row>
      <xdr:rowOff>9525</xdr:rowOff>
    </xdr:from>
    <xdr:to>
      <xdr:col>19</xdr:col>
      <xdr:colOff>133350</xdr:colOff>
      <xdr:row>79</xdr:row>
      <xdr:rowOff>85725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4EFE1B3-9316-6F20-7B1F-812BB603A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0" y="13154025"/>
          <a:ext cx="68865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192281</xdr:colOff>
      <xdr:row>48</xdr:row>
      <xdr:rowOff>85724</xdr:rowOff>
    </xdr:from>
    <xdr:to>
      <xdr:col>7</xdr:col>
      <xdr:colOff>2723612</xdr:colOff>
      <xdr:row>58</xdr:row>
      <xdr:rowOff>190073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9F76CC5-8F32-42AA-D745-314EFF63F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50906" y="9420224"/>
          <a:ext cx="2531331" cy="2009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198324</xdr:colOff>
      <xdr:row>43</xdr:row>
      <xdr:rowOff>27571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F28875-D14D-B73F-E360-521E76A22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09524" cy="80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13</xdr:col>
      <xdr:colOff>313448</xdr:colOff>
      <xdr:row>52</xdr:row>
      <xdr:rowOff>104595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DA7298-8430-DA51-960F-02E6AFFA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8572500"/>
          <a:ext cx="7019048" cy="14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53</xdr:row>
      <xdr:rowOff>73431</xdr:rowOff>
    </xdr:from>
    <xdr:to>
      <xdr:col>13</xdr:col>
      <xdr:colOff>342899</xdr:colOff>
      <xdr:row>67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4A0419-FDC9-AE6A-340E-D5231F3E0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4" y="10169931"/>
          <a:ext cx="7038975" cy="2755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68</xdr:row>
      <xdr:rowOff>161925</xdr:rowOff>
    </xdr:from>
    <xdr:to>
      <xdr:col>10</xdr:col>
      <xdr:colOff>561305</xdr:colOff>
      <xdr:row>75</xdr:row>
      <xdr:rowOff>171282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FE8BD-3F5E-BDA9-5219-CF10CCE8C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0" y="13115925"/>
          <a:ext cx="5361905" cy="13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60617</xdr:colOff>
      <xdr:row>77</xdr:row>
      <xdr:rowOff>47624</xdr:rowOff>
    </xdr:from>
    <xdr:to>
      <xdr:col>15</xdr:col>
      <xdr:colOff>503217</xdr:colOff>
      <xdr:row>99</xdr:row>
      <xdr:rowOff>161097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21AEA3-4E8B-C5BC-56F4-DF75953A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9817" y="14716124"/>
          <a:ext cx="8367400" cy="430447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101</xdr:row>
      <xdr:rowOff>28575</xdr:rowOff>
    </xdr:from>
    <xdr:to>
      <xdr:col>17</xdr:col>
      <xdr:colOff>132202</xdr:colOff>
      <xdr:row>138</xdr:row>
      <xdr:rowOff>56265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EFEEA7-CE3F-9E37-D77D-42195027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4450" y="19269075"/>
          <a:ext cx="9180952" cy="70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1C68-C6C3-4D1F-8A77-144B5C9842DE}">
  <dimension ref="A1:L63"/>
  <sheetViews>
    <sheetView tabSelected="1" workbookViewId="0">
      <selection activeCell="B65" sqref="B65"/>
    </sheetView>
  </sheetViews>
  <sheetFormatPr defaultRowHeight="15" x14ac:dyDescent="0.25"/>
  <cols>
    <col min="1" max="1" width="81.85546875" customWidth="1"/>
    <col min="2" max="2" width="36.140625" customWidth="1"/>
    <col min="3" max="3" width="21.140625" customWidth="1"/>
    <col min="5" max="5" width="11.28515625" customWidth="1"/>
    <col min="8" max="8" width="42.85546875" customWidth="1"/>
    <col min="9" max="9" width="10.5703125" customWidth="1"/>
  </cols>
  <sheetData>
    <row r="1" spans="1:12" ht="30" x14ac:dyDescent="0.25">
      <c r="A1" s="1" t="s">
        <v>0</v>
      </c>
    </row>
    <row r="2" spans="1:12" x14ac:dyDescent="0.25">
      <c r="B2" s="2" t="s">
        <v>1</v>
      </c>
      <c r="C2" s="3"/>
      <c r="D2" s="3"/>
      <c r="E2" s="3"/>
      <c r="F2" s="3"/>
      <c r="G2" s="3"/>
      <c r="H2" s="3"/>
      <c r="I2" s="3"/>
    </row>
    <row r="3" spans="1:12" x14ac:dyDescent="0.25">
      <c r="C3" s="3"/>
      <c r="D3" s="3"/>
      <c r="E3" s="5" t="s">
        <v>11</v>
      </c>
      <c r="F3" s="3"/>
      <c r="G3" s="3"/>
      <c r="H3" s="3"/>
      <c r="I3" s="3"/>
    </row>
    <row r="4" spans="1:12" x14ac:dyDescent="0.25">
      <c r="B4" t="s">
        <v>2</v>
      </c>
      <c r="C4" s="3" t="s">
        <v>9</v>
      </c>
      <c r="D4" s="13">
        <f>5/16</f>
        <v>0.3125</v>
      </c>
      <c r="E4" s="3" t="s">
        <v>20</v>
      </c>
      <c r="F4" s="3">
        <f>5/16*25.4</f>
        <v>7.9375</v>
      </c>
      <c r="G4" s="3" t="s">
        <v>19</v>
      </c>
      <c r="H4" s="3"/>
      <c r="I4" s="3"/>
    </row>
    <row r="5" spans="1:12" x14ac:dyDescent="0.25">
      <c r="B5" t="s">
        <v>3</v>
      </c>
      <c r="C5" s="3"/>
      <c r="D5" s="3"/>
      <c r="E5" s="3"/>
      <c r="F5" s="3"/>
      <c r="G5" s="3"/>
      <c r="H5" s="3"/>
      <c r="I5" s="3"/>
    </row>
    <row r="6" spans="1:12" x14ac:dyDescent="0.25">
      <c r="B6" t="s">
        <v>4</v>
      </c>
      <c r="C6" s="3"/>
      <c r="D6" s="3"/>
      <c r="E6" s="3"/>
      <c r="F6" s="3"/>
      <c r="G6" s="3"/>
      <c r="H6" s="3"/>
      <c r="I6" s="3"/>
    </row>
    <row r="7" spans="1:12" x14ac:dyDescent="0.25">
      <c r="B7" t="s">
        <v>5</v>
      </c>
      <c r="C7" s="3" t="s">
        <v>12</v>
      </c>
      <c r="D7" s="3">
        <v>6.5000000000000002E-2</v>
      </c>
      <c r="E7" s="3" t="s">
        <v>20</v>
      </c>
      <c r="F7" s="3">
        <f>25.4*D7</f>
        <v>1.651</v>
      </c>
      <c r="G7" s="3" t="s">
        <v>19</v>
      </c>
      <c r="H7" s="3"/>
      <c r="I7" s="3"/>
    </row>
    <row r="8" spans="1:12" x14ac:dyDescent="0.25">
      <c r="B8" t="s">
        <v>6</v>
      </c>
      <c r="C8" s="3" t="s">
        <v>13</v>
      </c>
      <c r="D8" s="3">
        <f>17/64</f>
        <v>0.265625</v>
      </c>
      <c r="E8" s="3" t="s">
        <v>20</v>
      </c>
      <c r="F8" s="3">
        <f>D8*25.4</f>
        <v>6.7468749999999993</v>
      </c>
      <c r="G8" s="3" t="s">
        <v>19</v>
      </c>
      <c r="H8" s="3"/>
      <c r="I8" s="3"/>
    </row>
    <row r="9" spans="1:12" x14ac:dyDescent="0.25">
      <c r="B9" t="s">
        <v>8</v>
      </c>
      <c r="C9" s="3" t="s">
        <v>14</v>
      </c>
      <c r="D9" s="3">
        <f>2*D4+0.25</f>
        <v>0.875</v>
      </c>
      <c r="E9" s="3" t="s">
        <v>20</v>
      </c>
      <c r="F9" s="8">
        <f>D9*25.4</f>
        <v>22.224999999999998</v>
      </c>
      <c r="G9" s="3" t="s">
        <v>19</v>
      </c>
      <c r="H9" s="11" t="s">
        <v>29</v>
      </c>
      <c r="I9" s="3"/>
    </row>
    <row r="10" spans="1:12" x14ac:dyDescent="0.25">
      <c r="B10" t="s">
        <v>7</v>
      </c>
      <c r="C10" s="3" t="s">
        <v>15</v>
      </c>
      <c r="D10" s="3">
        <f>I16-D9</f>
        <v>1.625</v>
      </c>
      <c r="E10" s="3" t="s">
        <v>20</v>
      </c>
      <c r="F10" s="8">
        <f>D10*25.4</f>
        <v>41.274999999999999</v>
      </c>
      <c r="G10" s="3" t="s">
        <v>19</v>
      </c>
      <c r="H10" s="3"/>
      <c r="I10" s="3"/>
    </row>
    <row r="11" spans="1:12" x14ac:dyDescent="0.25">
      <c r="B11" t="s">
        <v>21</v>
      </c>
      <c r="C11" s="3" t="s">
        <v>16</v>
      </c>
      <c r="D11" s="6">
        <f>D12-D10</f>
        <v>0.43999999999999995</v>
      </c>
      <c r="E11" s="3" t="s">
        <v>20</v>
      </c>
      <c r="F11" s="8">
        <f>D11*25.4</f>
        <v>11.175999999999998</v>
      </c>
      <c r="G11" s="3" t="s">
        <v>19</v>
      </c>
      <c r="H11" s="3"/>
      <c r="I11" s="3"/>
    </row>
    <row r="12" spans="1:12" x14ac:dyDescent="0.25">
      <c r="B12" t="s">
        <v>24</v>
      </c>
      <c r="C12" s="3" t="s">
        <v>10</v>
      </c>
      <c r="D12" s="3">
        <f>D14+D15+D7</f>
        <v>2.0649999999999999</v>
      </c>
      <c r="E12" s="3" t="s">
        <v>20</v>
      </c>
      <c r="F12" s="9">
        <f>D12*25.4</f>
        <v>52.450999999999993</v>
      </c>
      <c r="G12" s="3" t="s">
        <v>19</v>
      </c>
      <c r="H12" s="3"/>
      <c r="I12" s="3"/>
    </row>
    <row r="13" spans="1:12" x14ac:dyDescent="0.25">
      <c r="B13" t="s">
        <v>17</v>
      </c>
      <c r="C13" s="3" t="s">
        <v>18</v>
      </c>
      <c r="D13" s="3"/>
      <c r="E13" s="3"/>
      <c r="F13" s="3"/>
      <c r="G13" s="3"/>
      <c r="H13" s="3"/>
      <c r="I13" s="3"/>
    </row>
    <row r="14" spans="1:12" x14ac:dyDescent="0.25">
      <c r="B14" t="s">
        <v>22</v>
      </c>
      <c r="C14" s="3"/>
      <c r="D14" s="3">
        <v>1.5</v>
      </c>
      <c r="E14" s="3" t="s">
        <v>20</v>
      </c>
      <c r="F14" s="3">
        <f>25.4*D14</f>
        <v>38.099999999999994</v>
      </c>
      <c r="G14" s="3" t="s">
        <v>19</v>
      </c>
      <c r="H14" s="3"/>
      <c r="I14" s="3"/>
    </row>
    <row r="15" spans="1:12" x14ac:dyDescent="0.25">
      <c r="B15" t="s">
        <v>23</v>
      </c>
      <c r="C15" s="3"/>
      <c r="D15" s="3">
        <v>0.5</v>
      </c>
      <c r="E15" s="3" t="s">
        <v>20</v>
      </c>
      <c r="F15" s="3">
        <f>25.4*D15</f>
        <v>12.7</v>
      </c>
      <c r="G15" s="3" t="s">
        <v>19</v>
      </c>
      <c r="H15" s="3"/>
      <c r="I15" s="3"/>
    </row>
    <row r="16" spans="1:12" x14ac:dyDescent="0.25">
      <c r="B16" t="s">
        <v>25</v>
      </c>
      <c r="C16" s="3" t="s">
        <v>26</v>
      </c>
      <c r="D16" s="3">
        <f>D12+D8</f>
        <v>2.3306249999999999</v>
      </c>
      <c r="E16" s="3" t="s">
        <v>20</v>
      </c>
      <c r="F16" s="9">
        <f>25.4*D16</f>
        <v>59.197874999999996</v>
      </c>
      <c r="G16" s="3" t="s">
        <v>19</v>
      </c>
      <c r="H16" s="12" t="s">
        <v>28</v>
      </c>
      <c r="I16" s="3">
        <v>2.5</v>
      </c>
      <c r="J16" s="3" t="s">
        <v>20</v>
      </c>
      <c r="K16">
        <f>I16*25.4</f>
        <v>63.5</v>
      </c>
      <c r="L16" s="3" t="s">
        <v>19</v>
      </c>
    </row>
    <row r="17" spans="1:12" x14ac:dyDescent="0.25">
      <c r="C17" s="3"/>
      <c r="D17" s="3"/>
      <c r="E17" s="3"/>
      <c r="F17" s="3"/>
      <c r="G17" s="3"/>
      <c r="H17" s="3"/>
      <c r="I17" s="3"/>
    </row>
    <row r="18" spans="1:12" x14ac:dyDescent="0.25">
      <c r="B18" s="14" t="s">
        <v>30</v>
      </c>
      <c r="C18" s="3"/>
      <c r="D18" s="3"/>
      <c r="E18" s="3"/>
      <c r="F18" s="3"/>
      <c r="G18" s="3"/>
      <c r="H18" s="3"/>
      <c r="I18" s="3"/>
    </row>
    <row r="19" spans="1:12" x14ac:dyDescent="0.25">
      <c r="C19" s="3"/>
      <c r="D19" s="3"/>
      <c r="E19" s="3"/>
      <c r="F19" s="3"/>
      <c r="G19" s="3"/>
      <c r="H19" s="3"/>
      <c r="I19" s="3" t="s">
        <v>66</v>
      </c>
    </row>
    <row r="20" spans="1:12" x14ac:dyDescent="0.25">
      <c r="A20" s="11" t="s">
        <v>27</v>
      </c>
      <c r="B20" t="s">
        <v>31</v>
      </c>
      <c r="C20" s="3" t="s">
        <v>39</v>
      </c>
      <c r="D20" s="3">
        <f>PI()*(5/16)^2/4</f>
        <v>7.6699039394282062E-2</v>
      </c>
      <c r="E20" s="3" t="s">
        <v>32</v>
      </c>
      <c r="F20" s="3"/>
      <c r="G20" s="3"/>
      <c r="H20" s="3"/>
      <c r="I20" s="3"/>
      <c r="J20" s="3"/>
      <c r="K20" s="3"/>
      <c r="L20" s="3"/>
    </row>
    <row r="21" spans="1:12" x14ac:dyDescent="0.25">
      <c r="B21" t="s">
        <v>37</v>
      </c>
      <c r="C21" s="3" t="s">
        <v>38</v>
      </c>
      <c r="D21" s="3">
        <v>5.2400000000000002E-2</v>
      </c>
      <c r="E21" s="3" t="s">
        <v>32</v>
      </c>
      <c r="F21" s="3"/>
      <c r="G21" s="3"/>
      <c r="H21" s="3"/>
      <c r="I21" s="3"/>
      <c r="J21" s="3"/>
      <c r="K21" s="3"/>
      <c r="L21" s="3"/>
    </row>
    <row r="22" spans="1:12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 x14ac:dyDescent="0.25">
      <c r="A23">
        <f>D31*D39</f>
        <v>0.32620290209213848</v>
      </c>
      <c r="B23" s="14" t="s">
        <v>41</v>
      </c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 x14ac:dyDescent="0.25">
      <c r="A24" t="s">
        <v>65</v>
      </c>
      <c r="B24" t="s">
        <v>44</v>
      </c>
      <c r="C24" s="3" t="s">
        <v>45</v>
      </c>
      <c r="D24" s="3">
        <v>210000</v>
      </c>
      <c r="E24" s="3" t="s">
        <v>46</v>
      </c>
      <c r="F24" s="3"/>
      <c r="G24" s="3"/>
      <c r="H24" s="3"/>
      <c r="I24" s="3"/>
      <c r="J24" s="3"/>
      <c r="K24" s="3"/>
      <c r="L24" s="3"/>
    </row>
    <row r="25" spans="1:12" x14ac:dyDescent="0.25">
      <c r="B25" t="s">
        <v>40</v>
      </c>
      <c r="C25" s="3" t="s">
        <v>42</v>
      </c>
      <c r="D25" s="3">
        <f>((D20*D21*30000000)/((D20*D11)+(D21*D10)))</f>
        <v>1014073.5634136093</v>
      </c>
      <c r="E25" s="3" t="s">
        <v>96</v>
      </c>
      <c r="F25" s="9">
        <f>D25/10^6</f>
        <v>1.0140735634136093</v>
      </c>
      <c r="G25" s="3" t="s">
        <v>43</v>
      </c>
      <c r="H25" s="15" t="s">
        <v>97</v>
      </c>
      <c r="I25" s="3"/>
      <c r="J25" s="3"/>
      <c r="K25" s="3"/>
      <c r="L25" s="3"/>
    </row>
    <row r="26" spans="1:12" x14ac:dyDescent="0.25"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 x14ac:dyDescent="0.25">
      <c r="A27" s="11" t="s">
        <v>63</v>
      </c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 x14ac:dyDescent="0.25">
      <c r="B28" s="14" t="s">
        <v>47</v>
      </c>
      <c r="C28" s="3"/>
      <c r="D28" s="3"/>
      <c r="E28" s="3"/>
      <c r="F28" s="3"/>
      <c r="G28" s="3"/>
      <c r="H28" s="9" t="s">
        <v>48</v>
      </c>
      <c r="I28" s="3"/>
      <c r="J28" s="3"/>
      <c r="K28" s="3"/>
      <c r="L28" s="3"/>
    </row>
    <row r="29" spans="1:12" x14ac:dyDescent="0.25">
      <c r="C29" s="3"/>
      <c r="D29" s="3"/>
      <c r="E29" s="3"/>
      <c r="F29" s="3"/>
      <c r="G29" s="3"/>
      <c r="H29" s="3" t="s">
        <v>49</v>
      </c>
      <c r="I29" s="3"/>
      <c r="J29" s="3"/>
      <c r="K29" s="3"/>
      <c r="L29" s="3"/>
    </row>
    <row r="30" spans="1:12" x14ac:dyDescent="0.25">
      <c r="B30" t="s">
        <v>50</v>
      </c>
      <c r="C30" s="3" t="s">
        <v>51</v>
      </c>
      <c r="D30" s="3">
        <v>30</v>
      </c>
      <c r="E30" s="3" t="s">
        <v>52</v>
      </c>
      <c r="F30" s="3">
        <f>RADIANS(D30)</f>
        <v>0.52359877559829882</v>
      </c>
      <c r="G30" s="3" t="s">
        <v>53</v>
      </c>
      <c r="H30" s="3"/>
      <c r="I30" s="3"/>
      <c r="J30" s="3"/>
      <c r="K30" s="3"/>
      <c r="L30" s="3"/>
    </row>
    <row r="31" spans="1:12" x14ac:dyDescent="0.25">
      <c r="B31" t="s">
        <v>54</v>
      </c>
      <c r="C31" s="3" t="s">
        <v>55</v>
      </c>
      <c r="D31" s="3">
        <f>TAN(F30)</f>
        <v>0.57735026918962573</v>
      </c>
      <c r="E31" s="3"/>
      <c r="F31" s="3"/>
      <c r="G31" s="3"/>
      <c r="H31" s="3"/>
      <c r="I31" s="3"/>
      <c r="J31" s="3"/>
      <c r="K31" s="3"/>
      <c r="L31" s="3"/>
    </row>
    <row r="32" spans="1:12" x14ac:dyDescent="0.25">
      <c r="C32" s="3"/>
      <c r="D32" s="3"/>
      <c r="E32" s="3"/>
      <c r="F32" s="3"/>
      <c r="G32" s="3"/>
      <c r="H32" s="10" t="s">
        <v>56</v>
      </c>
      <c r="I32" s="3"/>
      <c r="J32" s="3"/>
      <c r="K32" s="3"/>
      <c r="L32" s="3"/>
    </row>
    <row r="33" spans="2:12" x14ac:dyDescent="0.25">
      <c r="D33" s="3"/>
      <c r="E33" s="3"/>
      <c r="F33" s="3"/>
      <c r="G33" s="3"/>
      <c r="H33" s="3"/>
      <c r="I33" s="3"/>
      <c r="J33" s="3"/>
      <c r="K33" s="3"/>
      <c r="L33" s="3"/>
    </row>
    <row r="34" spans="2:12" x14ac:dyDescent="0.25">
      <c r="B34" t="s">
        <v>57</v>
      </c>
      <c r="D34" s="3"/>
      <c r="E34" s="3"/>
      <c r="F34" s="3"/>
      <c r="G34" s="3"/>
      <c r="H34" s="3" t="s">
        <v>57</v>
      </c>
      <c r="I34" s="3"/>
      <c r="J34" s="3"/>
      <c r="K34" s="3"/>
      <c r="L34" s="3"/>
    </row>
    <row r="36" spans="2:12" x14ac:dyDescent="0.25">
      <c r="B36" t="s">
        <v>60</v>
      </c>
      <c r="C36" s="3" t="s">
        <v>59</v>
      </c>
      <c r="D36" s="3">
        <f>1.5*D4</f>
        <v>0.46875</v>
      </c>
      <c r="E36" s="3" t="s">
        <v>20</v>
      </c>
      <c r="F36" s="7">
        <f>D36*25.4</f>
        <v>11.90625</v>
      </c>
      <c r="G36" s="3" t="s">
        <v>19</v>
      </c>
    </row>
    <row r="37" spans="2:12" x14ac:dyDescent="0.25">
      <c r="B37" s="3" t="s">
        <v>61</v>
      </c>
      <c r="C37" s="3" t="s">
        <v>62</v>
      </c>
      <c r="D37" s="3">
        <f>D12/2</f>
        <v>1.0325</v>
      </c>
      <c r="E37" s="3" t="s">
        <v>20</v>
      </c>
      <c r="F37" s="7">
        <f>D37*25.4</f>
        <v>26.225499999999997</v>
      </c>
      <c r="G37" s="3" t="s">
        <v>19</v>
      </c>
    </row>
    <row r="38" spans="2:12" x14ac:dyDescent="0.25">
      <c r="B38" s="3" t="s">
        <v>69</v>
      </c>
      <c r="C38" s="3" t="s">
        <v>45</v>
      </c>
      <c r="D38" s="3">
        <v>14.5</v>
      </c>
      <c r="E38" s="3" t="s">
        <v>64</v>
      </c>
      <c r="F38" s="3">
        <v>99973.980559999996</v>
      </c>
      <c r="G38" s="3" t="s">
        <v>46</v>
      </c>
      <c r="H38" s="18" t="s">
        <v>72</v>
      </c>
      <c r="I38" s="17"/>
    </row>
    <row r="39" spans="2:12" x14ac:dyDescent="0.25">
      <c r="B39" s="3" t="s">
        <v>67</v>
      </c>
      <c r="C39" s="3" t="s">
        <v>68</v>
      </c>
      <c r="D39" s="3">
        <f>D15+D7</f>
        <v>0.56499999999999995</v>
      </c>
      <c r="E39" s="3" t="s">
        <v>20</v>
      </c>
      <c r="F39" s="7">
        <f>D39*25.4</f>
        <v>14.350999999999997</v>
      </c>
      <c r="G39" s="3" t="s">
        <v>19</v>
      </c>
    </row>
    <row r="40" spans="2:12" x14ac:dyDescent="0.25">
      <c r="B40" s="3" t="s">
        <v>70</v>
      </c>
      <c r="C40" s="3" t="s">
        <v>45</v>
      </c>
      <c r="D40" s="3">
        <v>30</v>
      </c>
      <c r="E40" s="3" t="s">
        <v>64</v>
      </c>
      <c r="F40" s="7">
        <v>206842.71840000001</v>
      </c>
      <c r="G40" s="3" t="s">
        <v>46</v>
      </c>
      <c r="H40" s="3" t="s">
        <v>71</v>
      </c>
    </row>
    <row r="41" spans="2:12" x14ac:dyDescent="0.25">
      <c r="B41" s="10" t="s">
        <v>74</v>
      </c>
      <c r="C41" s="3"/>
      <c r="D41" s="3"/>
      <c r="E41" s="3"/>
      <c r="F41" s="3"/>
      <c r="G41" s="3"/>
      <c r="H41" s="3" t="s">
        <v>58</v>
      </c>
    </row>
    <row r="42" spans="2:12" x14ac:dyDescent="0.25">
      <c r="B42" t="s">
        <v>73</v>
      </c>
      <c r="C42" s="3" t="s">
        <v>59</v>
      </c>
      <c r="D42" s="3">
        <f>1.5*D10</f>
        <v>2.4375</v>
      </c>
      <c r="E42" s="3" t="s">
        <v>20</v>
      </c>
      <c r="F42" s="7">
        <f>D42*25.4</f>
        <v>61.912499999999994</v>
      </c>
      <c r="G42" s="3" t="s">
        <v>19</v>
      </c>
    </row>
    <row r="43" spans="2:12" x14ac:dyDescent="0.25">
      <c r="B43" s="3" t="s">
        <v>75</v>
      </c>
      <c r="C43" s="3" t="s">
        <v>76</v>
      </c>
      <c r="D43" s="3">
        <f>D36+2*A23</f>
        <v>1.1211558041842768</v>
      </c>
      <c r="E43" s="3" t="s">
        <v>20</v>
      </c>
      <c r="F43" s="7">
        <f>D43*25.4</f>
        <v>28.47735742628063</v>
      </c>
      <c r="G43" s="3" t="s">
        <v>19</v>
      </c>
    </row>
    <row r="44" spans="2:12" x14ac:dyDescent="0.25">
      <c r="B44" s="3" t="s">
        <v>81</v>
      </c>
      <c r="C44" s="3" t="s">
        <v>80</v>
      </c>
      <c r="D44" s="3">
        <f>D31*(D15+D7)</f>
        <v>0.32620290209213848</v>
      </c>
      <c r="E44" s="3" t="s">
        <v>20</v>
      </c>
      <c r="F44" s="7">
        <f>D44*25.4</f>
        <v>8.2855537131403167</v>
      </c>
      <c r="G44" s="3" t="s">
        <v>19</v>
      </c>
      <c r="H44" s="16" t="s">
        <v>77</v>
      </c>
    </row>
    <row r="45" spans="2:12" x14ac:dyDescent="0.25">
      <c r="B45" s="3" t="s">
        <v>78</v>
      </c>
      <c r="C45" s="3" t="s">
        <v>79</v>
      </c>
      <c r="D45" s="3">
        <f>D37-(D15+D7)</f>
        <v>0.46750000000000003</v>
      </c>
      <c r="E45" s="3" t="s">
        <v>20</v>
      </c>
      <c r="F45" s="7">
        <f>D45*25.4</f>
        <v>11.874499999999999</v>
      </c>
      <c r="G45" s="3" t="s">
        <v>19</v>
      </c>
    </row>
    <row r="46" spans="2:12" x14ac:dyDescent="0.25">
      <c r="C46" s="3"/>
      <c r="D46" s="3"/>
      <c r="E46" s="3"/>
      <c r="F46" s="3"/>
      <c r="G46" s="3"/>
    </row>
    <row r="47" spans="2:12" x14ac:dyDescent="0.25">
      <c r="C47" s="3"/>
      <c r="D47" s="3"/>
      <c r="E47" s="3"/>
      <c r="F47" s="3"/>
      <c r="G47" s="3"/>
    </row>
    <row r="48" spans="2:12" x14ac:dyDescent="0.25">
      <c r="B48" s="11" t="s">
        <v>82</v>
      </c>
    </row>
    <row r="50" spans="2:8" x14ac:dyDescent="0.25">
      <c r="B50" s="3" t="s">
        <v>83</v>
      </c>
      <c r="C50" s="3" t="s">
        <v>84</v>
      </c>
      <c r="D50" s="9">
        <v>6.69</v>
      </c>
      <c r="E50" s="3" t="s">
        <v>85</v>
      </c>
      <c r="F50" s="3"/>
      <c r="G50" s="3"/>
    </row>
    <row r="51" spans="2:8" x14ac:dyDescent="0.25">
      <c r="B51" s="3" t="s">
        <v>87</v>
      </c>
      <c r="C51" s="3" t="s">
        <v>86</v>
      </c>
      <c r="D51" s="9">
        <v>42.838999999999999</v>
      </c>
      <c r="E51" s="3" t="s">
        <v>85</v>
      </c>
      <c r="F51" s="3"/>
      <c r="G51" s="3"/>
    </row>
    <row r="52" spans="2:8" x14ac:dyDescent="0.25">
      <c r="B52" s="3" t="s">
        <v>88</v>
      </c>
      <c r="C52" s="3" t="s">
        <v>89</v>
      </c>
      <c r="D52" s="9">
        <v>16.399999999999999</v>
      </c>
      <c r="E52" s="3" t="s">
        <v>85</v>
      </c>
      <c r="F52" s="3"/>
      <c r="G52" s="3"/>
    </row>
    <row r="53" spans="2:8" x14ac:dyDescent="0.25">
      <c r="C53" s="3"/>
      <c r="D53" s="3"/>
      <c r="E53" s="3"/>
      <c r="F53" s="3"/>
      <c r="G53" s="3"/>
    </row>
    <row r="54" spans="2:8" x14ac:dyDescent="0.25">
      <c r="C54" s="3"/>
      <c r="D54" s="3"/>
      <c r="E54" s="3"/>
      <c r="F54" s="3"/>
      <c r="G54" s="3"/>
    </row>
    <row r="55" spans="2:8" x14ac:dyDescent="0.25">
      <c r="B55" s="3" t="s">
        <v>90</v>
      </c>
      <c r="C55" s="3" t="s">
        <v>42</v>
      </c>
      <c r="D55" s="9">
        <f>(1/((1/D50)+(1/D51)+(1/D52)))</f>
        <v>4.2772394342249376</v>
      </c>
      <c r="E55" s="3" t="s">
        <v>85</v>
      </c>
      <c r="F55" s="3" t="s">
        <v>91</v>
      </c>
      <c r="G55" s="3"/>
    </row>
    <row r="56" spans="2:8" x14ac:dyDescent="0.25">
      <c r="C56" s="3"/>
      <c r="D56" s="3"/>
      <c r="E56" s="3"/>
      <c r="F56" s="3"/>
      <c r="G56" s="3"/>
    </row>
    <row r="57" spans="2:8" x14ac:dyDescent="0.25">
      <c r="B57" s="14" t="s">
        <v>92</v>
      </c>
      <c r="C57" s="3"/>
      <c r="D57" s="3"/>
      <c r="E57" s="3"/>
      <c r="F57" s="3"/>
      <c r="G57" s="3"/>
    </row>
    <row r="58" spans="2:8" x14ac:dyDescent="0.25">
      <c r="B58" s="3" t="s">
        <v>93</v>
      </c>
      <c r="C58" s="12" t="s">
        <v>94</v>
      </c>
      <c r="D58" s="3">
        <f>(F25/(F25+D55))</f>
        <v>0.19164875785389729</v>
      </c>
      <c r="E58" s="3"/>
      <c r="F58" s="3"/>
      <c r="G58" s="3"/>
    </row>
    <row r="59" spans="2:8" x14ac:dyDescent="0.25">
      <c r="C59" s="3"/>
      <c r="D59" s="3"/>
      <c r="E59" s="3"/>
      <c r="F59" s="3"/>
      <c r="G59" s="3"/>
    </row>
    <row r="61" spans="2:8" x14ac:dyDescent="0.25">
      <c r="B61" s="19" t="s">
        <v>98</v>
      </c>
      <c r="H61" t="s">
        <v>95</v>
      </c>
    </row>
    <row r="63" spans="2:8" x14ac:dyDescent="0.25">
      <c r="B63" s="19" t="s">
        <v>99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C805E-F323-4504-B289-607DF55A0299}">
  <dimension ref="Q46:V100"/>
  <sheetViews>
    <sheetView workbookViewId="0">
      <selection activeCell="S107" sqref="S107"/>
    </sheetView>
  </sheetViews>
  <sheetFormatPr defaultRowHeight="15" x14ac:dyDescent="0.25"/>
  <sheetData>
    <row r="46" spans="17:22" x14ac:dyDescent="0.25">
      <c r="Q46" s="3" t="s">
        <v>13</v>
      </c>
      <c r="R46" s="4">
        <f>25.4*(7/16)</f>
        <v>11.112499999999999</v>
      </c>
      <c r="S46" s="3" t="s">
        <v>19</v>
      </c>
      <c r="T46" s="3"/>
      <c r="U46" s="3"/>
      <c r="V46" s="3"/>
    </row>
    <row r="47" spans="17:22" x14ac:dyDescent="0.25">
      <c r="Q47" s="3"/>
      <c r="R47" s="3"/>
      <c r="S47" s="3"/>
      <c r="T47" s="3"/>
      <c r="U47" s="3"/>
      <c r="V47" s="3"/>
    </row>
    <row r="48" spans="17:22" x14ac:dyDescent="0.25">
      <c r="Q48" s="3"/>
      <c r="R48" s="3"/>
      <c r="S48" s="3"/>
      <c r="T48" s="3"/>
      <c r="U48" s="3"/>
      <c r="V48" s="3"/>
    </row>
    <row r="49" spans="17:22" x14ac:dyDescent="0.25">
      <c r="Q49" s="3"/>
      <c r="R49" s="3"/>
      <c r="S49" s="3"/>
      <c r="T49" s="3"/>
      <c r="U49" s="3"/>
      <c r="V49" s="3"/>
    </row>
    <row r="50" spans="17:22" x14ac:dyDescent="0.25">
      <c r="Q50" s="3"/>
      <c r="R50" s="3"/>
      <c r="S50" s="3"/>
      <c r="T50" s="3"/>
      <c r="U50" s="3"/>
      <c r="V50" s="3"/>
    </row>
    <row r="51" spans="17:22" x14ac:dyDescent="0.25">
      <c r="Q51" s="3"/>
      <c r="R51" s="3"/>
      <c r="S51" s="3"/>
      <c r="T51" s="3"/>
      <c r="U51" s="3"/>
      <c r="V51" s="3"/>
    </row>
    <row r="52" spans="17:22" x14ac:dyDescent="0.25">
      <c r="Q52" s="3"/>
      <c r="R52" s="3"/>
      <c r="S52" s="3"/>
      <c r="T52" s="3"/>
      <c r="U52" s="3"/>
      <c r="V52" s="3"/>
    </row>
    <row r="53" spans="17:22" x14ac:dyDescent="0.25">
      <c r="Q53" s="3"/>
      <c r="R53" s="3"/>
      <c r="S53" s="3"/>
      <c r="T53" s="3"/>
      <c r="U53" s="3"/>
      <c r="V53" s="3"/>
    </row>
    <row r="54" spans="17:22" x14ac:dyDescent="0.25">
      <c r="Q54" s="3"/>
      <c r="R54" s="3"/>
      <c r="S54" s="3"/>
      <c r="T54" s="3"/>
      <c r="U54" s="3"/>
      <c r="V54" s="3"/>
    </row>
    <row r="55" spans="17:22" x14ac:dyDescent="0.25">
      <c r="Q55" s="3"/>
      <c r="R55" s="3"/>
      <c r="S55" s="3"/>
      <c r="T55" s="3"/>
      <c r="U55" s="3"/>
      <c r="V55" s="3"/>
    </row>
    <row r="56" spans="17:22" x14ac:dyDescent="0.25">
      <c r="Q56" s="3"/>
      <c r="R56" s="3"/>
      <c r="S56" s="3"/>
      <c r="T56" s="3"/>
      <c r="U56" s="3"/>
      <c r="V56" s="3"/>
    </row>
    <row r="57" spans="17:22" x14ac:dyDescent="0.25">
      <c r="Q57" s="3"/>
      <c r="R57" s="3"/>
      <c r="S57" s="3"/>
      <c r="T57" s="3"/>
      <c r="U57" s="3"/>
      <c r="V57" s="3"/>
    </row>
    <row r="58" spans="17:22" x14ac:dyDescent="0.25">
      <c r="Q58" s="3"/>
      <c r="R58" s="3"/>
      <c r="S58" s="3"/>
      <c r="T58" s="3"/>
      <c r="U58" s="3"/>
      <c r="V58" s="3"/>
    </row>
    <row r="59" spans="17:22" x14ac:dyDescent="0.25">
      <c r="Q59" s="3"/>
      <c r="R59" s="3"/>
      <c r="S59" s="3"/>
      <c r="T59" s="3"/>
      <c r="U59" s="3"/>
      <c r="V59" s="3"/>
    </row>
    <row r="60" spans="17:22" x14ac:dyDescent="0.25">
      <c r="Q60" s="3"/>
      <c r="R60" s="3"/>
      <c r="S60" s="3"/>
      <c r="T60" s="3"/>
      <c r="U60" s="3"/>
      <c r="V60" s="3"/>
    </row>
    <row r="61" spans="17:22" x14ac:dyDescent="0.25">
      <c r="Q61" s="3"/>
      <c r="R61" s="3"/>
      <c r="S61" s="3"/>
      <c r="T61" s="3"/>
      <c r="U61" s="3"/>
      <c r="V61" s="3"/>
    </row>
    <row r="62" spans="17:22" x14ac:dyDescent="0.25">
      <c r="Q62" s="3"/>
      <c r="R62" s="3"/>
      <c r="S62" s="3"/>
      <c r="T62" s="3"/>
      <c r="U62" s="3"/>
      <c r="V62" s="3"/>
    </row>
    <row r="63" spans="17:22" x14ac:dyDescent="0.25">
      <c r="Q63" s="3"/>
      <c r="R63" s="3"/>
      <c r="S63" s="3"/>
      <c r="T63" s="3"/>
      <c r="U63" s="3"/>
      <c r="V63" s="3"/>
    </row>
    <row r="64" spans="17:22" x14ac:dyDescent="0.25">
      <c r="Q64" s="3"/>
      <c r="R64" s="3"/>
      <c r="S64" s="3"/>
      <c r="T64" s="3"/>
      <c r="U64" s="3"/>
      <c r="V64" s="3"/>
    </row>
    <row r="65" spans="17:22" x14ac:dyDescent="0.25">
      <c r="Q65" s="3"/>
      <c r="R65" s="3"/>
      <c r="S65" s="3"/>
      <c r="T65" s="3"/>
      <c r="U65" s="3"/>
      <c r="V65" s="3"/>
    </row>
    <row r="66" spans="17:22" x14ac:dyDescent="0.25">
      <c r="Q66" s="3" t="s">
        <v>12</v>
      </c>
      <c r="R66" s="3">
        <f>0.065</f>
        <v>6.5000000000000002E-2</v>
      </c>
      <c r="S66" s="3" t="s">
        <v>20</v>
      </c>
      <c r="T66" s="4">
        <f>25.4*R66</f>
        <v>1.651</v>
      </c>
      <c r="U66" s="3" t="s">
        <v>19</v>
      </c>
      <c r="V66" s="3"/>
    </row>
    <row r="67" spans="17:22" x14ac:dyDescent="0.25">
      <c r="Q67" s="3"/>
      <c r="R67" s="3"/>
      <c r="S67" s="3"/>
      <c r="T67" s="3"/>
      <c r="U67" s="3"/>
      <c r="V67" s="3"/>
    </row>
    <row r="99" spans="18:20" x14ac:dyDescent="0.25">
      <c r="R99" t="s">
        <v>33</v>
      </c>
      <c r="S99">
        <v>5.2400000000000002E-2</v>
      </c>
      <c r="T99" t="s">
        <v>32</v>
      </c>
    </row>
    <row r="100" spans="18:20" x14ac:dyDescent="0.25">
      <c r="R100" t="s">
        <v>36</v>
      </c>
      <c r="S100" s="3" t="s">
        <v>34</v>
      </c>
      <c r="T100" t="s">
        <v>35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Rigidité des assemblages vissés</vt:lpstr>
      <vt:lpstr>Ressources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Administrator;spectrum 2022</dc:creator>
  <cp:lastModifiedBy>Administrator</cp:lastModifiedBy>
  <dcterms:created xsi:type="dcterms:W3CDTF">2022-05-15T05:52:55Z</dcterms:created>
  <dcterms:modified xsi:type="dcterms:W3CDTF">2022-05-15T09:42:36Z</dcterms:modified>
</cp:coreProperties>
</file>